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April 2022/"/>
    </mc:Choice>
  </mc:AlternateContent>
  <xr:revisionPtr revIDLastSave="1078" documentId="13_ncr:1_{DE1E1C6B-316A-41F0-BB7E-FE5CC11AEE85}" xr6:coauthVersionLast="47" xr6:coauthVersionMax="47" xr10:uidLastSave="{E41AA7F6-A301-4F3E-B9B7-564D29C8056B}"/>
  <bookViews>
    <workbookView xWindow="-108" yWindow="-108" windowWidth="23256" windowHeight="12576" xr2:uid="{00000000-000D-0000-FFFF-FFFF00000000}"/>
  </bookViews>
  <sheets>
    <sheet name="Market Indexes" sheetId="7" r:id="rId1"/>
    <sheet name="Details for April 29" sheetId="6" r:id="rId2"/>
    <sheet name="Top Trades for April 29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April 29'!$A$1:$I$18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6" i="11" l="1"/>
  <c r="J440" i="11"/>
  <c r="J559" i="11"/>
  <c r="J519" i="11"/>
  <c r="I696" i="11"/>
  <c r="H696" i="11"/>
  <c r="J696" i="11" s="1"/>
  <c r="J695" i="11"/>
  <c r="J694" i="11"/>
  <c r="J693" i="11"/>
  <c r="J692" i="11"/>
  <c r="J691" i="11"/>
  <c r="J690" i="11"/>
  <c r="J689" i="11"/>
  <c r="I685" i="11"/>
  <c r="I686" i="11" s="1"/>
  <c r="H685" i="11"/>
  <c r="H686" i="11" s="1"/>
  <c r="J683" i="11"/>
  <c r="J682" i="11"/>
  <c r="J681" i="11"/>
  <c r="J680" i="11"/>
  <c r="J679" i="11"/>
  <c r="I676" i="11"/>
  <c r="H676" i="11"/>
  <c r="J676" i="11" s="1"/>
  <c r="J675" i="11"/>
  <c r="J674" i="11"/>
  <c r="J673" i="11"/>
  <c r="J672" i="11"/>
  <c r="J671" i="11"/>
  <c r="J670" i="11"/>
  <c r="J666" i="11"/>
  <c r="I666" i="11"/>
  <c r="H666" i="11"/>
  <c r="I665" i="11"/>
  <c r="H665" i="11"/>
  <c r="J665" i="11" s="1"/>
  <c r="J664" i="11"/>
  <c r="J663" i="11"/>
  <c r="J662" i="11"/>
  <c r="J661" i="11"/>
  <c r="J660" i="11"/>
  <c r="J659" i="11"/>
  <c r="I656" i="11"/>
  <c r="H656" i="11"/>
  <c r="J656" i="11" s="1"/>
  <c r="J655" i="11"/>
  <c r="J654" i="11"/>
  <c r="J653" i="11"/>
  <c r="J652" i="11"/>
  <c r="J651" i="11"/>
  <c r="J650" i="11"/>
  <c r="J649" i="11"/>
  <c r="I645" i="11"/>
  <c r="H645" i="11"/>
  <c r="J645" i="11" s="1"/>
  <c r="J643" i="11"/>
  <c r="J641" i="11"/>
  <c r="H5" i="3"/>
  <c r="F5" i="3"/>
  <c r="H4" i="3"/>
  <c r="F4" i="3"/>
  <c r="J686" i="11" l="1"/>
  <c r="J685" i="11"/>
  <c r="D704" i="11" l="1"/>
  <c r="C704" i="11"/>
  <c r="E704" i="11" s="1"/>
  <c r="E703" i="11"/>
  <c r="E702" i="11"/>
  <c r="E701" i="11"/>
  <c r="E700" i="11"/>
  <c r="D696" i="11"/>
  <c r="D697" i="11" s="1"/>
  <c r="C696" i="11"/>
  <c r="C697" i="11" s="1"/>
  <c r="E697" i="11" s="1"/>
  <c r="E695" i="11"/>
  <c r="E694" i="11"/>
  <c r="E693" i="11"/>
  <c r="E692" i="11"/>
  <c r="D689" i="11"/>
  <c r="C689" i="11"/>
  <c r="E689" i="11" s="1"/>
  <c r="E688" i="11"/>
  <c r="E687" i="11"/>
  <c r="E686" i="11"/>
  <c r="E685" i="11"/>
  <c r="E684" i="11"/>
  <c r="E683" i="11"/>
  <c r="E682" i="11"/>
  <c r="E681" i="11"/>
  <c r="D677" i="11"/>
  <c r="E676" i="11"/>
  <c r="D676" i="11"/>
  <c r="C676" i="11"/>
  <c r="E675" i="11"/>
  <c r="E674" i="11"/>
  <c r="E673" i="11"/>
  <c r="E672" i="11"/>
  <c r="E671" i="11"/>
  <c r="E668" i="11"/>
  <c r="D668" i="11"/>
  <c r="C668" i="11"/>
  <c r="C677" i="11" s="1"/>
  <c r="E677" i="11" s="1"/>
  <c r="E667" i="11"/>
  <c r="E666" i="11"/>
  <c r="E665" i="11"/>
  <c r="D661" i="11"/>
  <c r="C661" i="11"/>
  <c r="E661" i="11" s="1"/>
  <c r="E659" i="11"/>
  <c r="E657" i="11"/>
  <c r="I634" i="11"/>
  <c r="H634" i="11"/>
  <c r="J634" i="11" s="1"/>
  <c r="J633" i="11"/>
  <c r="J632" i="11"/>
  <c r="J631" i="11"/>
  <c r="J630" i="11"/>
  <c r="J629" i="11"/>
  <c r="J627" i="11"/>
  <c r="I624" i="11"/>
  <c r="H624" i="11"/>
  <c r="J624" i="11" s="1"/>
  <c r="J622" i="11"/>
  <c r="J621" i="11"/>
  <c r="J620" i="11"/>
  <c r="J619" i="11"/>
  <c r="J618" i="11"/>
  <c r="J617" i="11"/>
  <c r="I614" i="11"/>
  <c r="H614" i="11"/>
  <c r="J614" i="11" s="1"/>
  <c r="J613" i="11"/>
  <c r="J611" i="11"/>
  <c r="J610" i="11"/>
  <c r="J609" i="11"/>
  <c r="J608" i="11"/>
  <c r="J605" i="11"/>
  <c r="J604" i="11"/>
  <c r="J603" i="11"/>
  <c r="J602" i="11"/>
  <c r="J601" i="11"/>
  <c r="J600" i="11"/>
  <c r="J599" i="11"/>
  <c r="J598" i="11"/>
  <c r="I594" i="11"/>
  <c r="H594" i="11"/>
  <c r="J592" i="11"/>
  <c r="J591" i="11"/>
  <c r="D650" i="11"/>
  <c r="C650" i="11"/>
  <c r="E650" i="11" s="1"/>
  <c r="E649" i="11"/>
  <c r="E648" i="11"/>
  <c r="E647" i="11"/>
  <c r="E646" i="11"/>
  <c r="E645" i="11"/>
  <c r="E644" i="11"/>
  <c r="D641" i="11"/>
  <c r="E641" i="11" s="1"/>
  <c r="C641" i="11"/>
  <c r="E640" i="11"/>
  <c r="E639" i="11"/>
  <c r="E638" i="11"/>
  <c r="E637" i="11"/>
  <c r="E636" i="11"/>
  <c r="D633" i="11"/>
  <c r="C633" i="11"/>
  <c r="E632" i="11"/>
  <c r="E631" i="11"/>
  <c r="E630" i="11"/>
  <c r="E629" i="11"/>
  <c r="E628" i="11"/>
  <c r="E627" i="11"/>
  <c r="E626" i="11"/>
  <c r="E623" i="11"/>
  <c r="D623" i="11"/>
  <c r="C623" i="11"/>
  <c r="E621" i="11"/>
  <c r="E620" i="11"/>
  <c r="I584" i="11"/>
  <c r="H584" i="11"/>
  <c r="J583" i="11"/>
  <c r="J582" i="11"/>
  <c r="J581" i="11"/>
  <c r="J580" i="11"/>
  <c r="I577" i="11"/>
  <c r="H577" i="11"/>
  <c r="J576" i="11"/>
  <c r="J575" i="11"/>
  <c r="J574" i="11"/>
  <c r="J573" i="11"/>
  <c r="J572" i="11"/>
  <c r="J571" i="11"/>
  <c r="J570" i="11"/>
  <c r="J569" i="11"/>
  <c r="J568" i="11"/>
  <c r="J567" i="11"/>
  <c r="J565" i="11"/>
  <c r="I562" i="11"/>
  <c r="H562" i="11"/>
  <c r="J562" i="11" s="1"/>
  <c r="J561" i="11"/>
  <c r="J560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I542" i="11"/>
  <c r="J542" i="11" s="1"/>
  <c r="H542" i="11"/>
  <c r="J540" i="11"/>
  <c r="J539" i="11"/>
  <c r="D613" i="11"/>
  <c r="C613" i="11"/>
  <c r="E613" i="11" s="1"/>
  <c r="E611" i="11"/>
  <c r="E610" i="11"/>
  <c r="E609" i="11"/>
  <c r="E608" i="11"/>
  <c r="D604" i="11"/>
  <c r="C604" i="11"/>
  <c r="E603" i="11"/>
  <c r="E602" i="11"/>
  <c r="E601" i="11"/>
  <c r="E600" i="11"/>
  <c r="E599" i="11"/>
  <c r="E598" i="11"/>
  <c r="E597" i="11"/>
  <c r="E596" i="11"/>
  <c r="D593" i="11"/>
  <c r="C593" i="11"/>
  <c r="E593" i="11" s="1"/>
  <c r="E592" i="11"/>
  <c r="E591" i="11"/>
  <c r="E590" i="11"/>
  <c r="E589" i="11"/>
  <c r="E588" i="11"/>
  <c r="E587" i="11"/>
  <c r="D582" i="11"/>
  <c r="C582" i="11"/>
  <c r="E582" i="11" s="1"/>
  <c r="E581" i="11"/>
  <c r="E580" i="11"/>
  <c r="E579" i="11"/>
  <c r="E578" i="11"/>
  <c r="E577" i="11"/>
  <c r="D574" i="11"/>
  <c r="D583" i="11" s="1"/>
  <c r="C574" i="11"/>
  <c r="E573" i="11"/>
  <c r="E572" i="11"/>
  <c r="E571" i="11"/>
  <c r="E570" i="11"/>
  <c r="E569" i="11"/>
  <c r="D562" i="11"/>
  <c r="D563" i="11" s="1"/>
  <c r="D565" i="11" s="1"/>
  <c r="C562" i="11"/>
  <c r="C563" i="11" s="1"/>
  <c r="C565" i="11" s="1"/>
  <c r="E561" i="11"/>
  <c r="D560" i="11"/>
  <c r="C560" i="11"/>
  <c r="E559" i="11"/>
  <c r="I532" i="11"/>
  <c r="H532" i="11"/>
  <c r="J531" i="11"/>
  <c r="J530" i="11"/>
  <c r="J529" i="11"/>
  <c r="J528" i="11"/>
  <c r="J527" i="11"/>
  <c r="I524" i="11"/>
  <c r="H524" i="11"/>
  <c r="J523" i="11"/>
  <c r="J522" i="11"/>
  <c r="J521" i="11"/>
  <c r="J520" i="11"/>
  <c r="J518" i="11"/>
  <c r="J517" i="11"/>
  <c r="J516" i="11"/>
  <c r="I513" i="11"/>
  <c r="H513" i="11"/>
  <c r="J512" i="11"/>
  <c r="J511" i="11"/>
  <c r="J510" i="11"/>
  <c r="J509" i="11"/>
  <c r="J508" i="11"/>
  <c r="J507" i="11"/>
  <c r="J506" i="11"/>
  <c r="J505" i="11"/>
  <c r="J504" i="11"/>
  <c r="J503" i="11"/>
  <c r="J502" i="11"/>
  <c r="I498" i="11"/>
  <c r="H498" i="11"/>
  <c r="J496" i="11"/>
  <c r="J495" i="11"/>
  <c r="J148" i="6"/>
  <c r="J122" i="6"/>
  <c r="J90" i="6"/>
  <c r="J89" i="6"/>
  <c r="J77" i="6"/>
  <c r="J75" i="6"/>
  <c r="J63" i="6"/>
  <c r="J53" i="6"/>
  <c r="J52" i="6"/>
  <c r="J50" i="6"/>
  <c r="J47" i="6"/>
  <c r="J15" i="6"/>
  <c r="J6" i="6"/>
  <c r="J104" i="6"/>
  <c r="E696" i="11" l="1"/>
  <c r="J498" i="11"/>
  <c r="E633" i="11"/>
  <c r="J584" i="11"/>
  <c r="J513" i="11"/>
  <c r="J532" i="11"/>
  <c r="J594" i="11"/>
  <c r="C605" i="11"/>
  <c r="J577" i="11"/>
  <c r="C583" i="11"/>
  <c r="E583" i="11" s="1"/>
  <c r="J524" i="11"/>
  <c r="E574" i="11"/>
  <c r="D605" i="11"/>
  <c r="E605" i="11" s="1"/>
  <c r="E604" i="11"/>
  <c r="E563" i="11"/>
  <c r="E565" i="11"/>
  <c r="D552" i="11" l="1"/>
  <c r="C552" i="11"/>
  <c r="E551" i="11"/>
  <c r="E550" i="11"/>
  <c r="E549" i="11"/>
  <c r="E548" i="11"/>
  <c r="E547" i="11"/>
  <c r="I488" i="11"/>
  <c r="H488" i="11"/>
  <c r="J487" i="11"/>
  <c r="D543" i="11"/>
  <c r="C543" i="11"/>
  <c r="J486" i="11"/>
  <c r="E542" i="11"/>
  <c r="J485" i="11"/>
  <c r="E541" i="11"/>
  <c r="J484" i="11"/>
  <c r="E540" i="11"/>
  <c r="D537" i="11"/>
  <c r="C537" i="11"/>
  <c r="I480" i="11"/>
  <c r="H480" i="11"/>
  <c r="E536" i="11"/>
  <c r="J479" i="11"/>
  <c r="E535" i="11"/>
  <c r="J478" i="11"/>
  <c r="E534" i="11"/>
  <c r="J477" i="11"/>
  <c r="E533" i="11"/>
  <c r="J476" i="11"/>
  <c r="E532" i="11"/>
  <c r="I473" i="11"/>
  <c r="H473" i="11"/>
  <c r="J472" i="11"/>
  <c r="D527" i="11"/>
  <c r="C527" i="11"/>
  <c r="E526" i="11"/>
  <c r="E525" i="11"/>
  <c r="I468" i="11"/>
  <c r="H468" i="11"/>
  <c r="J468" i="11" s="1"/>
  <c r="E524" i="11"/>
  <c r="J467" i="11"/>
  <c r="E523" i="11"/>
  <c r="J466" i="11"/>
  <c r="E522" i="11"/>
  <c r="J465" i="11"/>
  <c r="J464" i="11"/>
  <c r="D519" i="11"/>
  <c r="C519" i="11"/>
  <c r="C528" i="11" s="1"/>
  <c r="I462" i="11"/>
  <c r="H462" i="11"/>
  <c r="E518" i="11"/>
  <c r="J461" i="11"/>
  <c r="E517" i="11"/>
  <c r="E516" i="11"/>
  <c r="I457" i="11"/>
  <c r="H457" i="11"/>
  <c r="E512" i="11"/>
  <c r="J455" i="11"/>
  <c r="E510" i="11"/>
  <c r="J453" i="11"/>
  <c r="E508" i="11"/>
  <c r="I446" i="11"/>
  <c r="H446" i="11"/>
  <c r="J446" i="11" s="1"/>
  <c r="J445" i="11"/>
  <c r="D501" i="11"/>
  <c r="C501" i="11"/>
  <c r="J444" i="11"/>
  <c r="E500" i="11"/>
  <c r="J443" i="11"/>
  <c r="E499" i="11"/>
  <c r="E498" i="11"/>
  <c r="E497" i="11"/>
  <c r="E496" i="11"/>
  <c r="I439" i="11"/>
  <c r="H439" i="11"/>
  <c r="E495" i="11"/>
  <c r="J438" i="11"/>
  <c r="J437" i="11"/>
  <c r="J436" i="11"/>
  <c r="D492" i="11"/>
  <c r="C492" i="11"/>
  <c r="J435" i="11"/>
  <c r="E491" i="11"/>
  <c r="E490" i="11"/>
  <c r="E489" i="11"/>
  <c r="I432" i="11"/>
  <c r="H432" i="11"/>
  <c r="E488" i="11"/>
  <c r="J431" i="11"/>
  <c r="E487" i="11"/>
  <c r="J430" i="11"/>
  <c r="E486" i="11"/>
  <c r="J429" i="11"/>
  <c r="E485" i="11"/>
  <c r="J428" i="11"/>
  <c r="E481" i="11"/>
  <c r="E480" i="11"/>
  <c r="I423" i="11"/>
  <c r="H423" i="11"/>
  <c r="E479" i="11"/>
  <c r="J422" i="11"/>
  <c r="E478" i="11"/>
  <c r="J421" i="11"/>
  <c r="E477" i="11"/>
  <c r="J420" i="11"/>
  <c r="E476" i="11"/>
  <c r="J419" i="11"/>
  <c r="E475" i="11"/>
  <c r="J418" i="11"/>
  <c r="E474" i="11"/>
  <c r="E473" i="11"/>
  <c r="E472" i="11"/>
  <c r="I415" i="11"/>
  <c r="H415" i="11"/>
  <c r="J415" i="11" s="1"/>
  <c r="D471" i="11"/>
  <c r="D482" i="11" s="1"/>
  <c r="C471" i="11"/>
  <c r="E471" i="11" s="1"/>
  <c r="J414" i="11"/>
  <c r="E470" i="11"/>
  <c r="J413" i="11"/>
  <c r="E469" i="11"/>
  <c r="E468" i="11"/>
  <c r="I409" i="11"/>
  <c r="H409" i="11"/>
  <c r="E464" i="11"/>
  <c r="J407" i="11"/>
  <c r="E462" i="11"/>
  <c r="J405" i="11"/>
  <c r="E461" i="11"/>
  <c r="D454" i="11"/>
  <c r="C454" i="11"/>
  <c r="E453" i="11"/>
  <c r="E452" i="11"/>
  <c r="E451" i="11"/>
  <c r="D447" i="11"/>
  <c r="C447" i="11"/>
  <c r="C448" i="11" s="1"/>
  <c r="E446" i="11"/>
  <c r="E445" i="11"/>
  <c r="E444" i="11"/>
  <c r="E443" i="11"/>
  <c r="E442" i="11"/>
  <c r="E441" i="11"/>
  <c r="D438" i="11"/>
  <c r="C438" i="11"/>
  <c r="E437" i="11"/>
  <c r="E436" i="11"/>
  <c r="E435" i="11"/>
  <c r="D430" i="11"/>
  <c r="D431" i="11" s="1"/>
  <c r="C430" i="11"/>
  <c r="E429" i="11"/>
  <c r="E428" i="11"/>
  <c r="E427" i="11"/>
  <c r="E426" i="11"/>
  <c r="E425" i="11"/>
  <c r="D422" i="11"/>
  <c r="C422" i="11"/>
  <c r="E422" i="11" s="1"/>
  <c r="E421" i="11"/>
  <c r="E420" i="11"/>
  <c r="E419" i="11"/>
  <c r="E415" i="11"/>
  <c r="E413" i="11"/>
  <c r="E411" i="11"/>
  <c r="D404" i="11"/>
  <c r="C404" i="11"/>
  <c r="E404" i="11" s="1"/>
  <c r="E403" i="11"/>
  <c r="E402" i="11"/>
  <c r="E401" i="11"/>
  <c r="E400" i="11"/>
  <c r="I398" i="11"/>
  <c r="H398" i="11"/>
  <c r="J398" i="11" s="1"/>
  <c r="E398" i="11"/>
  <c r="J397" i="11"/>
  <c r="E397" i="11"/>
  <c r="J396" i="11"/>
  <c r="E396" i="11"/>
  <c r="J394" i="11"/>
  <c r="J393" i="11"/>
  <c r="D393" i="11"/>
  <c r="C393" i="11"/>
  <c r="J392" i="11"/>
  <c r="E392" i="11"/>
  <c r="J391" i="11"/>
  <c r="E391" i="11"/>
  <c r="J390" i="11"/>
  <c r="E390" i="11"/>
  <c r="E389" i="11"/>
  <c r="E388" i="11"/>
  <c r="I387" i="11"/>
  <c r="H387" i="11"/>
  <c r="E387" i="11"/>
  <c r="J386" i="11"/>
  <c r="E386" i="11"/>
  <c r="J385" i="11"/>
  <c r="J384" i="11"/>
  <c r="J383" i="11"/>
  <c r="D383" i="11"/>
  <c r="C383" i="11"/>
  <c r="E383" i="11" s="1"/>
  <c r="J382" i="11"/>
  <c r="E382" i="11"/>
  <c r="J381" i="11"/>
  <c r="E381" i="11"/>
  <c r="J380" i="11"/>
  <c r="E380" i="11"/>
  <c r="J379" i="11"/>
  <c r="E379" i="11"/>
  <c r="E378" i="11"/>
  <c r="E377" i="11"/>
  <c r="I376" i="11"/>
  <c r="H376" i="11"/>
  <c r="E376" i="11"/>
  <c r="J375" i="11"/>
  <c r="E375" i="11"/>
  <c r="J374" i="11"/>
  <c r="E374" i="11"/>
  <c r="J373" i="11"/>
  <c r="E373" i="11"/>
  <c r="J372" i="11"/>
  <c r="E372" i="11"/>
  <c r="J371" i="11"/>
  <c r="E371" i="11"/>
  <c r="J370" i="11"/>
  <c r="E370" i="11"/>
  <c r="J369" i="11"/>
  <c r="J368" i="11"/>
  <c r="J367" i="11"/>
  <c r="J366" i="11"/>
  <c r="E366" i="11"/>
  <c r="J365" i="11"/>
  <c r="J364" i="11"/>
  <c r="E364" i="11"/>
  <c r="J363" i="11"/>
  <c r="E363" i="11"/>
  <c r="J362" i="11"/>
  <c r="J361" i="11"/>
  <c r="J357" i="11"/>
  <c r="D356" i="11"/>
  <c r="C356" i="11"/>
  <c r="J355" i="11"/>
  <c r="E355" i="11"/>
  <c r="J354" i="11"/>
  <c r="E354" i="11"/>
  <c r="E353" i="11"/>
  <c r="D349" i="11"/>
  <c r="C349" i="11"/>
  <c r="E348" i="11"/>
  <c r="I347" i="11"/>
  <c r="H347" i="11"/>
  <c r="E347" i="11"/>
  <c r="J346" i="11"/>
  <c r="E346" i="11"/>
  <c r="J345" i="11"/>
  <c r="E345" i="11"/>
  <c r="J344" i="11"/>
  <c r="J343" i="11"/>
  <c r="J342" i="11"/>
  <c r="D342" i="11"/>
  <c r="C342" i="11"/>
  <c r="E341" i="11"/>
  <c r="I339" i="11"/>
  <c r="H339" i="11"/>
  <c r="J339" i="11" s="1"/>
  <c r="J338" i="11"/>
  <c r="J337" i="11"/>
  <c r="J336" i="11"/>
  <c r="E336" i="11"/>
  <c r="J335" i="11"/>
  <c r="D335" i="11"/>
  <c r="C335" i="11"/>
  <c r="J334" i="11"/>
  <c r="E334" i="11"/>
  <c r="J333" i="11"/>
  <c r="E333" i="11"/>
  <c r="J332" i="11"/>
  <c r="E332" i="11"/>
  <c r="J331" i="11"/>
  <c r="E331" i="11"/>
  <c r="J330" i="11"/>
  <c r="D328" i="11"/>
  <c r="C328" i="11"/>
  <c r="I327" i="11"/>
  <c r="H327" i="11"/>
  <c r="E327" i="11"/>
  <c r="J326" i="11"/>
  <c r="E326" i="11"/>
  <c r="J325" i="11"/>
  <c r="E325" i="11"/>
  <c r="J324" i="11"/>
  <c r="E324" i="11"/>
  <c r="J323" i="11"/>
  <c r="J322" i="11"/>
  <c r="J321" i="11"/>
  <c r="J320" i="11"/>
  <c r="D320" i="11"/>
  <c r="C320" i="11"/>
  <c r="J319" i="11"/>
  <c r="J318" i="11"/>
  <c r="E318" i="11"/>
  <c r="J317" i="11"/>
  <c r="J316" i="11"/>
  <c r="E316" i="11"/>
  <c r="J315" i="11"/>
  <c r="J314" i="11"/>
  <c r="J313" i="11"/>
  <c r="J312" i="11"/>
  <c r="D309" i="11"/>
  <c r="C309" i="11"/>
  <c r="J308" i="11"/>
  <c r="E308" i="11"/>
  <c r="E307" i="11"/>
  <c r="J306" i="11"/>
  <c r="E306" i="11"/>
  <c r="J305" i="11"/>
  <c r="E305" i="11"/>
  <c r="E304" i="11"/>
  <c r="D300" i="11"/>
  <c r="C300" i="11"/>
  <c r="E299" i="11"/>
  <c r="I298" i="11"/>
  <c r="H298" i="11"/>
  <c r="E298" i="11"/>
  <c r="J297" i="11"/>
  <c r="E297" i="11"/>
  <c r="E296" i="11"/>
  <c r="J295" i="11"/>
  <c r="J294" i="11"/>
  <c r="D293" i="11"/>
  <c r="C293" i="11"/>
  <c r="E292" i="11"/>
  <c r="E291" i="11"/>
  <c r="I290" i="11"/>
  <c r="H290" i="11"/>
  <c r="E290" i="11"/>
  <c r="E289" i="11"/>
  <c r="J288" i="11"/>
  <c r="J287" i="11"/>
  <c r="J286" i="11"/>
  <c r="J285" i="11"/>
  <c r="D284" i="11"/>
  <c r="C284" i="11"/>
  <c r="E283" i="11"/>
  <c r="I282" i="11"/>
  <c r="H282" i="11"/>
  <c r="E282" i="11"/>
  <c r="J281" i="11"/>
  <c r="E281" i="11"/>
  <c r="J280" i="11"/>
  <c r="E280" i="11"/>
  <c r="D277" i="11"/>
  <c r="C277" i="11"/>
  <c r="E277" i="11" s="1"/>
  <c r="E276" i="11"/>
  <c r="I275" i="11"/>
  <c r="H275" i="11"/>
  <c r="E275" i="11"/>
  <c r="J274" i="11"/>
  <c r="E274" i="11"/>
  <c r="J273" i="11"/>
  <c r="J272" i="11"/>
  <c r="J271" i="11"/>
  <c r="J270" i="11"/>
  <c r="D270" i="11"/>
  <c r="C270" i="11"/>
  <c r="J269" i="11"/>
  <c r="E268" i="11"/>
  <c r="I266" i="11"/>
  <c r="H266" i="11"/>
  <c r="J266" i="11" s="1"/>
  <c r="E266" i="11"/>
  <c r="J265" i="11"/>
  <c r="J264" i="11"/>
  <c r="J263" i="11"/>
  <c r="J262" i="11"/>
  <c r="D259" i="11"/>
  <c r="C259" i="11"/>
  <c r="I258" i="11"/>
  <c r="H258" i="11"/>
  <c r="E258" i="11"/>
  <c r="E257" i="11"/>
  <c r="J256" i="11"/>
  <c r="E256" i="11"/>
  <c r="E255" i="11"/>
  <c r="J254" i="11"/>
  <c r="E254" i="11"/>
  <c r="E253" i="11"/>
  <c r="E252" i="11"/>
  <c r="E251" i="11"/>
  <c r="I247" i="11"/>
  <c r="H247" i="11"/>
  <c r="D247" i="11"/>
  <c r="C247" i="11"/>
  <c r="J246" i="11"/>
  <c r="E246" i="11"/>
  <c r="J245" i="11"/>
  <c r="E245" i="11"/>
  <c r="E244" i="11"/>
  <c r="E243" i="11"/>
  <c r="E242" i="11"/>
  <c r="I241" i="11"/>
  <c r="H241" i="11"/>
  <c r="J241" i="11" s="1"/>
  <c r="J240" i="11"/>
  <c r="J239" i="11"/>
  <c r="D239" i="11"/>
  <c r="C239" i="11"/>
  <c r="J238" i="11"/>
  <c r="E238" i="11"/>
  <c r="J237" i="11"/>
  <c r="E237" i="11"/>
  <c r="J236" i="11"/>
  <c r="E236" i="11"/>
  <c r="J235" i="11"/>
  <c r="E235" i="11"/>
  <c r="E234" i="11"/>
  <c r="I232" i="11"/>
  <c r="H232" i="11"/>
  <c r="J231" i="11"/>
  <c r="J230" i="11"/>
  <c r="J229" i="11"/>
  <c r="D229" i="11"/>
  <c r="C229" i="11"/>
  <c r="E228" i="11"/>
  <c r="E227" i="11"/>
  <c r="E226" i="11"/>
  <c r="E225" i="11"/>
  <c r="I224" i="11"/>
  <c r="H224" i="11"/>
  <c r="E224" i="11"/>
  <c r="J223" i="11"/>
  <c r="E223" i="11"/>
  <c r="J222" i="11"/>
  <c r="J221" i="11"/>
  <c r="J220" i="11"/>
  <c r="D220" i="11"/>
  <c r="C220" i="11"/>
  <c r="J219" i="11"/>
  <c r="E219" i="11"/>
  <c r="E218" i="11"/>
  <c r="E217" i="11"/>
  <c r="I216" i="11"/>
  <c r="H216" i="11"/>
  <c r="J216" i="11" s="1"/>
  <c r="E216" i="11"/>
  <c r="J215" i="11"/>
  <c r="E215" i="11"/>
  <c r="J214" i="11"/>
  <c r="E214" i="11"/>
  <c r="J213" i="11"/>
  <c r="E213" i="11"/>
  <c r="J212" i="11"/>
  <c r="E212" i="11"/>
  <c r="J208" i="11"/>
  <c r="D208" i="11"/>
  <c r="C208" i="11"/>
  <c r="E208" i="11" s="1"/>
  <c r="J206" i="11"/>
  <c r="E206" i="11"/>
  <c r="J204" i="11"/>
  <c r="E204" i="11"/>
  <c r="I197" i="11"/>
  <c r="H197" i="11"/>
  <c r="J196" i="11"/>
  <c r="D196" i="11"/>
  <c r="C196" i="11"/>
  <c r="J195" i="11"/>
  <c r="E195" i="11"/>
  <c r="J194" i="11"/>
  <c r="E194" i="11"/>
  <c r="J193" i="11"/>
  <c r="E193" i="11"/>
  <c r="I189" i="11"/>
  <c r="H189" i="11"/>
  <c r="D189" i="11"/>
  <c r="C189" i="11"/>
  <c r="J188" i="11"/>
  <c r="E188" i="11"/>
  <c r="J187" i="11"/>
  <c r="E187" i="11"/>
  <c r="J186" i="11"/>
  <c r="E186" i="11"/>
  <c r="J185" i="11"/>
  <c r="E185" i="11"/>
  <c r="J184" i="11"/>
  <c r="D182" i="11"/>
  <c r="D190" i="11" s="1"/>
  <c r="C182" i="11"/>
  <c r="I181" i="11"/>
  <c r="H181" i="11"/>
  <c r="J181" i="11" s="1"/>
  <c r="E181" i="11"/>
  <c r="J180" i="11"/>
  <c r="E180" i="11"/>
  <c r="J179" i="11"/>
  <c r="J178" i="11"/>
  <c r="J177" i="11"/>
  <c r="J176" i="11"/>
  <c r="D175" i="11"/>
  <c r="C175" i="11"/>
  <c r="E174" i="11"/>
  <c r="E173" i="11"/>
  <c r="E172" i="11"/>
  <c r="I171" i="11"/>
  <c r="H171" i="11"/>
  <c r="E171" i="11"/>
  <c r="J170" i="11"/>
  <c r="J169" i="11"/>
  <c r="J168" i="11"/>
  <c r="D168" i="11"/>
  <c r="C168" i="11"/>
  <c r="J167" i="11"/>
  <c r="E167" i="11"/>
  <c r="J166" i="11"/>
  <c r="E166" i="11"/>
  <c r="I163" i="11"/>
  <c r="H163" i="11"/>
  <c r="J162" i="11"/>
  <c r="J161" i="11"/>
  <c r="D161" i="11"/>
  <c r="D162" i="11" s="1"/>
  <c r="C161" i="11"/>
  <c r="C162" i="11" s="1"/>
  <c r="J160" i="11"/>
  <c r="E160" i="11"/>
  <c r="J159" i="11"/>
  <c r="E158" i="11"/>
  <c r="J155" i="11"/>
  <c r="J153" i="11"/>
  <c r="J151" i="11"/>
  <c r="D151" i="11"/>
  <c r="C151" i="11"/>
  <c r="E150" i="11"/>
  <c r="E149" i="11"/>
  <c r="E148" i="11"/>
  <c r="E147" i="11"/>
  <c r="E146" i="11"/>
  <c r="I144" i="11"/>
  <c r="H144" i="11"/>
  <c r="J143" i="11"/>
  <c r="J142" i="11"/>
  <c r="D142" i="11"/>
  <c r="C142" i="11"/>
  <c r="J141" i="11"/>
  <c r="E141" i="11"/>
  <c r="J140" i="11"/>
  <c r="E140" i="11"/>
  <c r="E139" i="11"/>
  <c r="E138" i="11"/>
  <c r="E137" i="11"/>
  <c r="I136" i="11"/>
  <c r="H136" i="11"/>
  <c r="J135" i="11"/>
  <c r="J134" i="11"/>
  <c r="D134" i="11"/>
  <c r="D143" i="11" s="1"/>
  <c r="C134" i="11"/>
  <c r="J133" i="11"/>
  <c r="E133" i="11"/>
  <c r="J132" i="11"/>
  <c r="E132" i="11"/>
  <c r="E131" i="11"/>
  <c r="I129" i="11"/>
  <c r="H129" i="11"/>
  <c r="J128" i="11"/>
  <c r="J127" i="11"/>
  <c r="D126" i="11"/>
  <c r="C126" i="11"/>
  <c r="E125" i="11"/>
  <c r="E124" i="11"/>
  <c r="E123" i="11"/>
  <c r="I122" i="11"/>
  <c r="H122" i="11"/>
  <c r="E122" i="11"/>
  <c r="J121" i="11"/>
  <c r="E121" i="11"/>
  <c r="J120" i="11"/>
  <c r="J119" i="11"/>
  <c r="J118" i="11"/>
  <c r="D118" i="11"/>
  <c r="C118" i="11"/>
  <c r="E117" i="11"/>
  <c r="E116" i="11"/>
  <c r="I115" i="11"/>
  <c r="H115" i="11"/>
  <c r="E115" i="11"/>
  <c r="J114" i="11"/>
  <c r="E114" i="11"/>
  <c r="J113" i="11"/>
  <c r="E113" i="11"/>
  <c r="J109" i="11"/>
  <c r="D109" i="11"/>
  <c r="C109" i="11"/>
  <c r="J107" i="11"/>
  <c r="E107" i="11"/>
  <c r="J105" i="11"/>
  <c r="E105" i="11"/>
  <c r="I99" i="11"/>
  <c r="H99" i="11"/>
  <c r="D99" i="11"/>
  <c r="C99" i="11"/>
  <c r="J98" i="11"/>
  <c r="E98" i="11"/>
  <c r="J97" i="11"/>
  <c r="E97" i="11"/>
  <c r="J96" i="11"/>
  <c r="E96" i="11"/>
  <c r="J95" i="11"/>
  <c r="J94" i="11"/>
  <c r="J93" i="11"/>
  <c r="D92" i="11"/>
  <c r="C92" i="11"/>
  <c r="E91" i="11"/>
  <c r="E90" i="11"/>
  <c r="I89" i="11"/>
  <c r="H89" i="11"/>
  <c r="J89" i="11" s="1"/>
  <c r="E89" i="11"/>
  <c r="J88" i="11"/>
  <c r="E88" i="11"/>
  <c r="J87" i="11"/>
  <c r="E87" i="11"/>
  <c r="J86" i="11"/>
  <c r="J85" i="11"/>
  <c r="J84" i="11"/>
  <c r="D84" i="11"/>
  <c r="C84" i="11"/>
  <c r="I81" i="11"/>
  <c r="H81" i="11"/>
  <c r="J80" i="11"/>
  <c r="J79" i="11"/>
  <c r="D78" i="11"/>
  <c r="C78" i="11"/>
  <c r="E77" i="11"/>
  <c r="E76" i="11"/>
  <c r="E75" i="11"/>
  <c r="I74" i="11"/>
  <c r="H74" i="11"/>
  <c r="E74" i="11"/>
  <c r="J73" i="11"/>
  <c r="E73" i="11"/>
  <c r="J72" i="11"/>
  <c r="E72" i="11"/>
  <c r="J71" i="11"/>
  <c r="J70" i="11"/>
  <c r="J69" i="11"/>
  <c r="D69" i="11"/>
  <c r="C69" i="11"/>
  <c r="I66" i="11"/>
  <c r="H66" i="11"/>
  <c r="E66" i="11"/>
  <c r="J65" i="11"/>
  <c r="J64" i="11"/>
  <c r="J63" i="11"/>
  <c r="J62" i="11"/>
  <c r="D62" i="11"/>
  <c r="C62" i="11"/>
  <c r="E60" i="11"/>
  <c r="I58" i="11"/>
  <c r="H58" i="11"/>
  <c r="J58" i="11" s="1"/>
  <c r="E58" i="11"/>
  <c r="J56" i="11"/>
  <c r="J54" i="11"/>
  <c r="D51" i="11"/>
  <c r="C51" i="11"/>
  <c r="E51" i="11" s="1"/>
  <c r="E50" i="11"/>
  <c r="E49" i="11"/>
  <c r="E48" i="11"/>
  <c r="I47" i="11"/>
  <c r="H47" i="11"/>
  <c r="E47" i="11"/>
  <c r="J46" i="11"/>
  <c r="E46" i="11"/>
  <c r="J45" i="11"/>
  <c r="J44" i="11"/>
  <c r="J43" i="11"/>
  <c r="D43" i="11"/>
  <c r="C43" i="11"/>
  <c r="J42" i="11"/>
  <c r="E42" i="11"/>
  <c r="E41" i="11"/>
  <c r="E40" i="11"/>
  <c r="I39" i="11"/>
  <c r="H39" i="11"/>
  <c r="J39" i="11" s="1"/>
  <c r="E39" i="11"/>
  <c r="J38" i="11"/>
  <c r="E38" i="11"/>
  <c r="J37" i="11"/>
  <c r="E37" i="11"/>
  <c r="J36" i="11"/>
  <c r="E36" i="11"/>
  <c r="J35" i="11"/>
  <c r="E35" i="11"/>
  <c r="J34" i="11"/>
  <c r="E34" i="11"/>
  <c r="J33" i="11"/>
  <c r="E33" i="11"/>
  <c r="J32" i="11"/>
  <c r="E32" i="11"/>
  <c r="E31" i="11"/>
  <c r="I29" i="11"/>
  <c r="H29" i="11"/>
  <c r="D28" i="11"/>
  <c r="C28" i="11"/>
  <c r="J27" i="11"/>
  <c r="E27" i="11"/>
  <c r="J26" i="11"/>
  <c r="E26" i="11"/>
  <c r="J25" i="11"/>
  <c r="E25" i="11"/>
  <c r="J24" i="11"/>
  <c r="E24" i="11"/>
  <c r="J23" i="11"/>
  <c r="E23" i="11"/>
  <c r="J22" i="11"/>
  <c r="E22" i="11"/>
  <c r="J21" i="11"/>
  <c r="E21" i="11"/>
  <c r="J20" i="11"/>
  <c r="E20" i="11"/>
  <c r="J19" i="11"/>
  <c r="E19" i="11"/>
  <c r="J18" i="11"/>
  <c r="E18" i="11"/>
  <c r="J17" i="11"/>
  <c r="E17" i="11"/>
  <c r="J16" i="11"/>
  <c r="E16" i="11"/>
  <c r="J12" i="11"/>
  <c r="D11" i="11"/>
  <c r="D12" i="11" s="1"/>
  <c r="C11" i="11"/>
  <c r="C12" i="11" s="1"/>
  <c r="J10" i="11"/>
  <c r="E10" i="11"/>
  <c r="J9" i="11"/>
  <c r="E9" i="11"/>
  <c r="D248" i="11" l="1"/>
  <c r="E447" i="11"/>
  <c r="J129" i="11"/>
  <c r="J144" i="11"/>
  <c r="J171" i="11"/>
  <c r="E182" i="11"/>
  <c r="E293" i="11"/>
  <c r="J232" i="11"/>
  <c r="E247" i="11"/>
  <c r="E259" i="11"/>
  <c r="D350" i="11"/>
  <c r="E393" i="11"/>
  <c r="E537" i="11"/>
  <c r="J81" i="11"/>
  <c r="J189" i="11"/>
  <c r="E342" i="11"/>
  <c r="E552" i="11"/>
  <c r="J163" i="11"/>
  <c r="H291" i="11"/>
  <c r="C176" i="11"/>
  <c r="E151" i="11"/>
  <c r="J347" i="11"/>
  <c r="J29" i="11"/>
  <c r="C93" i="11"/>
  <c r="E335" i="11"/>
  <c r="J387" i="11"/>
  <c r="D285" i="11"/>
  <c r="I123" i="11"/>
  <c r="I440" i="11"/>
  <c r="E501" i="11"/>
  <c r="C337" i="11"/>
  <c r="I469" i="11"/>
  <c r="E28" i="11"/>
  <c r="E69" i="11"/>
  <c r="J99" i="11"/>
  <c r="H481" i="11"/>
  <c r="E118" i="11"/>
  <c r="J432" i="11"/>
  <c r="I137" i="11"/>
  <c r="E229" i="11"/>
  <c r="H276" i="11"/>
  <c r="E109" i="11"/>
  <c r="J115" i="11"/>
  <c r="E168" i="11"/>
  <c r="D230" i="11"/>
  <c r="I225" i="11"/>
  <c r="J282" i="11"/>
  <c r="E320" i="11"/>
  <c r="E438" i="11"/>
  <c r="H469" i="11"/>
  <c r="D528" i="11"/>
  <c r="E528" i="11" s="1"/>
  <c r="I90" i="11"/>
  <c r="D93" i="11"/>
  <c r="E93" i="11" s="1"/>
  <c r="C190" i="11"/>
  <c r="E190" i="11" s="1"/>
  <c r="C482" i="11"/>
  <c r="E482" i="11" s="1"/>
  <c r="E492" i="11"/>
  <c r="E92" i="11"/>
  <c r="E175" i="11"/>
  <c r="C285" i="11"/>
  <c r="E285" i="11" s="1"/>
  <c r="C431" i="11"/>
  <c r="J488" i="11"/>
  <c r="E189" i="11"/>
  <c r="I276" i="11"/>
  <c r="E284" i="11"/>
  <c r="J298" i="11"/>
  <c r="C544" i="11"/>
  <c r="D176" i="11"/>
  <c r="I242" i="11"/>
  <c r="J258" i="11"/>
  <c r="I291" i="11"/>
  <c r="J291" i="11" s="1"/>
  <c r="E328" i="11"/>
  <c r="J376" i="11"/>
  <c r="J457" i="11"/>
  <c r="E519" i="11"/>
  <c r="E543" i="11"/>
  <c r="H75" i="11"/>
  <c r="H137" i="11"/>
  <c r="I190" i="11"/>
  <c r="E196" i="11"/>
  <c r="J290" i="11"/>
  <c r="C301" i="11"/>
  <c r="E62" i="11"/>
  <c r="I75" i="11"/>
  <c r="C79" i="11"/>
  <c r="C127" i="11"/>
  <c r="C143" i="11"/>
  <c r="E143" i="11" s="1"/>
  <c r="I172" i="11"/>
  <c r="C230" i="11"/>
  <c r="H242" i="11"/>
  <c r="J242" i="11" s="1"/>
  <c r="D301" i="11"/>
  <c r="J409" i="11"/>
  <c r="H424" i="11"/>
  <c r="D544" i="11"/>
  <c r="E12" i="11"/>
  <c r="E431" i="11"/>
  <c r="D79" i="11"/>
  <c r="D127" i="11"/>
  <c r="E239" i="11"/>
  <c r="E309" i="11"/>
  <c r="I424" i="11"/>
  <c r="I481" i="11"/>
  <c r="E43" i="11"/>
  <c r="J47" i="11"/>
  <c r="H172" i="11"/>
  <c r="J197" i="11"/>
  <c r="E220" i="11"/>
  <c r="H225" i="11"/>
  <c r="J247" i="11"/>
  <c r="C350" i="11"/>
  <c r="E350" i="11" s="1"/>
  <c r="E356" i="11"/>
  <c r="E454" i="11"/>
  <c r="J74" i="11"/>
  <c r="E99" i="11"/>
  <c r="J122" i="11"/>
  <c r="E134" i="11"/>
  <c r="E270" i="11"/>
  <c r="J327" i="11"/>
  <c r="D448" i="11"/>
  <c r="H440" i="11"/>
  <c r="E527" i="11"/>
  <c r="J480" i="11"/>
  <c r="J423" i="11"/>
  <c r="J462" i="11"/>
  <c r="J439" i="11"/>
  <c r="J473" i="11"/>
  <c r="E448" i="11"/>
  <c r="C248" i="11"/>
  <c r="E248" i="11" s="1"/>
  <c r="D337" i="11"/>
  <c r="J275" i="11"/>
  <c r="J224" i="11"/>
  <c r="E349" i="11"/>
  <c r="E300" i="11"/>
  <c r="E430" i="11"/>
  <c r="E162" i="11"/>
  <c r="J136" i="11"/>
  <c r="H190" i="11"/>
  <c r="E126" i="11"/>
  <c r="H123" i="11"/>
  <c r="E142" i="11"/>
  <c r="H90" i="11"/>
  <c r="J90" i="11" s="1"/>
  <c r="E78" i="11"/>
  <c r="J66" i="11"/>
  <c r="J190" i="11" l="1"/>
  <c r="E230" i="11"/>
  <c r="J225" i="11"/>
  <c r="E337" i="11"/>
  <c r="J172" i="11"/>
  <c r="J481" i="11"/>
  <c r="J137" i="11"/>
  <c r="E176" i="11"/>
  <c r="J123" i="11"/>
  <c r="J469" i="11"/>
  <c r="J276" i="11"/>
  <c r="J424" i="11"/>
  <c r="E301" i="11"/>
  <c r="E544" i="11"/>
  <c r="E127" i="11"/>
  <c r="E79" i="11"/>
  <c r="J75" i="11"/>
  <c r="J57" i="6" l="1"/>
  <c r="J117" i="6" l="1"/>
  <c r="J128" i="6"/>
  <c r="J93" i="6"/>
  <c r="J60" i="6"/>
  <c r="J64" i="6" l="1"/>
  <c r="P64" i="6"/>
  <c r="J55" i="6"/>
  <c r="J163" i="6"/>
  <c r="J106" i="6"/>
  <c r="J92" i="6" l="1"/>
  <c r="J97" i="6"/>
  <c r="J31" i="6"/>
  <c r="J45" i="6" l="1"/>
  <c r="F33" i="6" l="1"/>
  <c r="M33" i="6" l="1"/>
  <c r="I33" i="6"/>
  <c r="M73" i="6" l="1"/>
  <c r="M5" i="6" l="1"/>
  <c r="M98" i="6" l="1"/>
  <c r="I98" i="6"/>
  <c r="F98" i="6"/>
  <c r="F148" i="6" l="1"/>
  <c r="I51" i="6" l="1"/>
  <c r="I5" i="6" l="1"/>
  <c r="I6" i="6"/>
  <c r="F6" i="6"/>
  <c r="F7" i="6"/>
  <c r="F8" i="6"/>
  <c r="F9" i="6"/>
  <c r="F12" i="6"/>
  <c r="F13" i="6"/>
  <c r="F14" i="6"/>
  <c r="F15" i="6"/>
  <c r="F18" i="6"/>
  <c r="F19" i="6"/>
  <c r="F20" i="6"/>
  <c r="F21" i="6"/>
  <c r="F22" i="6"/>
  <c r="F23" i="6"/>
  <c r="F26" i="6"/>
  <c r="F27" i="6"/>
  <c r="F28" i="6"/>
  <c r="F29" i="6"/>
  <c r="F30" i="6"/>
  <c r="F31" i="6"/>
  <c r="F32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101" i="6"/>
  <c r="F102" i="6"/>
  <c r="F103" i="6"/>
  <c r="F104" i="6"/>
  <c r="F105" i="6"/>
  <c r="F106" i="6"/>
  <c r="F107" i="6"/>
  <c r="F110" i="6"/>
  <c r="F111" i="6"/>
  <c r="F112" i="6"/>
  <c r="F113" i="6"/>
  <c r="F114" i="6"/>
  <c r="F115" i="6"/>
  <c r="F116" i="6"/>
  <c r="F117" i="6"/>
  <c r="F118" i="6"/>
  <c r="F121" i="6"/>
  <c r="F122" i="6"/>
  <c r="F123" i="6"/>
  <c r="F124" i="6"/>
  <c r="F125" i="6"/>
  <c r="F126" i="6"/>
  <c r="F127" i="6"/>
  <c r="F128" i="6"/>
  <c r="F129" i="6"/>
  <c r="F130" i="6"/>
  <c r="F133" i="6"/>
  <c r="F134" i="6"/>
  <c r="F135" i="6"/>
  <c r="F136" i="6"/>
  <c r="F137" i="6"/>
  <c r="F138" i="6"/>
  <c r="F141" i="6"/>
  <c r="F142" i="6"/>
  <c r="F143" i="6"/>
  <c r="F144" i="6"/>
  <c r="F145" i="6"/>
  <c r="F146" i="6"/>
  <c r="F147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5" i="6"/>
  <c r="I121" i="6" l="1"/>
  <c r="I122" i="6"/>
  <c r="I123" i="6"/>
  <c r="I124" i="6"/>
  <c r="I126" i="6"/>
  <c r="I127" i="6"/>
  <c r="I128" i="6"/>
  <c r="I129" i="6"/>
  <c r="I130" i="6"/>
  <c r="I145" i="6"/>
  <c r="I142" i="6"/>
  <c r="I143" i="6"/>
  <c r="I144" i="6"/>
  <c r="I146" i="6"/>
  <c r="I147" i="6"/>
  <c r="I148" i="6"/>
  <c r="I141" i="6"/>
  <c r="M170" i="6"/>
  <c r="I170" i="6"/>
  <c r="M169" i="6"/>
  <c r="I169" i="6"/>
  <c r="M137" i="6"/>
  <c r="I137" i="6"/>
  <c r="M138" i="6"/>
  <c r="I138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I153" i="6"/>
  <c r="M152" i="6"/>
  <c r="I152" i="6"/>
  <c r="M151" i="6"/>
  <c r="I151" i="6"/>
  <c r="M148" i="6"/>
  <c r="M147" i="6"/>
  <c r="M146" i="6"/>
  <c r="M145" i="6"/>
  <c r="M144" i="6"/>
  <c r="M143" i="6"/>
  <c r="M142" i="6"/>
  <c r="M141" i="6"/>
  <c r="M136" i="6"/>
  <c r="I136" i="6"/>
  <c r="M135" i="6"/>
  <c r="I135" i="6"/>
  <c r="M134" i="6"/>
  <c r="I134" i="6"/>
  <c r="M133" i="6"/>
  <c r="I133" i="6"/>
  <c r="M130" i="6"/>
  <c r="M129" i="6"/>
  <c r="M128" i="6"/>
  <c r="M127" i="6"/>
  <c r="M126" i="6"/>
  <c r="M125" i="6"/>
  <c r="M124" i="6"/>
  <c r="M123" i="6"/>
  <c r="M122" i="6"/>
  <c r="M121" i="6"/>
  <c r="M118" i="6"/>
  <c r="I118" i="6"/>
  <c r="M117" i="6"/>
  <c r="I117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7" i="6"/>
  <c r="I107" i="6"/>
  <c r="M106" i="6"/>
  <c r="I106" i="6"/>
  <c r="M105" i="6"/>
  <c r="I105" i="6"/>
  <c r="M104" i="6"/>
  <c r="I104" i="6"/>
  <c r="M103" i="6"/>
  <c r="I103" i="6"/>
  <c r="M102" i="6"/>
  <c r="I102" i="6"/>
  <c r="M101" i="6"/>
  <c r="I101" i="6"/>
  <c r="M97" i="6"/>
  <c r="I97" i="6"/>
  <c r="M96" i="6"/>
  <c r="I96" i="6"/>
  <c r="M95" i="6"/>
  <c r="I95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I52" i="6"/>
  <c r="M51" i="6"/>
  <c r="M50" i="6"/>
  <c r="I50" i="6"/>
  <c r="M47" i="6"/>
  <c r="I47" i="6"/>
  <c r="M46" i="6"/>
  <c r="I46" i="6"/>
  <c r="M45" i="6"/>
  <c r="I45" i="6"/>
  <c r="M44" i="6"/>
  <c r="I44" i="6"/>
  <c r="M43" i="6"/>
  <c r="I43" i="6"/>
  <c r="M42" i="6"/>
  <c r="I42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4" i="6"/>
  <c r="I34" i="6"/>
  <c r="M32" i="6"/>
  <c r="I32" i="6"/>
  <c r="M31" i="6"/>
  <c r="I31" i="6"/>
  <c r="M30" i="6"/>
  <c r="I30" i="6"/>
  <c r="M29" i="6"/>
  <c r="I29" i="6"/>
  <c r="M28" i="6"/>
  <c r="I28" i="6"/>
  <c r="M27" i="6"/>
  <c r="I27" i="6"/>
  <c r="M26" i="6"/>
  <c r="I26" i="6"/>
  <c r="M23" i="6"/>
  <c r="I23" i="6"/>
  <c r="M22" i="6"/>
  <c r="I22" i="6"/>
  <c r="M21" i="6"/>
  <c r="I21" i="6"/>
  <c r="M20" i="6"/>
  <c r="I20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  <c r="M6" i="6"/>
  <c r="F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 Osaro</author>
    <author>Joshua Chinga</author>
  </authors>
  <commentList>
    <comment ref="J6" authorId="0" shapeId="0" xr:uid="{DAAEC51A-9FAE-4399-B153-9D3E6D05B670}">
      <text>
        <r>
          <rPr>
            <sz val="9"/>
            <color indexed="81"/>
            <rFont val="Tahoma"/>
            <family val="2"/>
          </rPr>
          <t>Year open: N142k. Adjusted dividend of N8.00k.</t>
        </r>
      </text>
    </comment>
    <comment ref="J15" authorId="0" shapeId="0" xr:uid="{16F3777A-D709-46FC-8B73-BCED60A09FDF}">
      <text>
        <r>
          <rPr>
            <sz val="9"/>
            <color indexed="81"/>
            <rFont val="Tahoma"/>
            <family val="2"/>
          </rPr>
          <t>Year open: N0.98k. Adjusted dividend of N0.02k.</t>
        </r>
      </text>
    </comment>
    <comment ref="J31" authorId="1" shapeId="0" xr:uid="{D1F81A98-C982-4B21-AD24-EE802D7DF857}">
      <text>
        <r>
          <rPr>
            <sz val="9"/>
            <color indexed="81"/>
            <rFont val="Tahoma"/>
            <family val="2"/>
          </rPr>
          <t xml:space="preserve">Year open: N48.00k. Adjusted dividend of N1.20k.
</t>
        </r>
      </text>
    </comment>
    <comment ref="J45" authorId="0" shapeId="0" xr:uid="{08372D0D-5A32-4A04-B76A-89CB8836CFF5}">
      <text>
        <r>
          <rPr>
            <sz val="9"/>
            <color indexed="81"/>
            <rFont val="Tahoma"/>
            <family val="2"/>
          </rPr>
          <t xml:space="preserve">Year open: N20.25k. Adjusted dividend of N1.50k.
</t>
        </r>
      </text>
    </comment>
    <comment ref="J46" authorId="0" shapeId="0" xr:uid="{48C59BD2-63B9-481F-BF4D-FA0183EC9059}">
      <text>
        <r>
          <rPr>
            <sz val="9"/>
            <color indexed="81"/>
            <rFont val="Tahoma"/>
            <family val="2"/>
          </rPr>
          <t>Year open: N6.10k. 
Adjusted for: 
final dividend N0.25k.</t>
        </r>
      </text>
    </comment>
    <comment ref="J47" authorId="0" shapeId="0" xr:uid="{08E49C24-F9BD-49CE-8684-248483FEA415}">
      <text>
        <r>
          <rPr>
            <sz val="9"/>
            <color indexed="81"/>
            <rFont val="Tahoma"/>
            <family val="2"/>
          </rPr>
          <t>Year open: N14.50k. Adjusted dividend of N0.50k.</t>
        </r>
      </text>
    </comment>
    <comment ref="J50" authorId="0" shapeId="0" xr:uid="{A97D3C97-FF19-4C0D-8AE9-ABEE9413AB67}">
      <text>
        <r>
          <rPr>
            <sz val="9"/>
            <color indexed="81"/>
            <rFont val="Tahoma"/>
            <family val="2"/>
          </rPr>
          <t>Year open: N9.25k. Adjusted dividend of N0.70k.</t>
        </r>
      </text>
    </comment>
    <comment ref="J52" authorId="0" shapeId="0" xr:uid="{E15713B7-BD23-4F02-A050-AC343845A7A1}">
      <text>
        <r>
          <rPr>
            <sz val="9"/>
            <color indexed="81"/>
            <rFont val="Tahoma"/>
            <family val="2"/>
          </rPr>
          <t>Year open: N2.85k. Adjusted dividend of N0.20k.</t>
        </r>
      </text>
    </comment>
    <comment ref="J53" authorId="0" shapeId="0" xr:uid="{20E7FBB7-E44D-4301-B7A0-1738092A5BFF}">
      <text>
        <r>
          <rPr>
            <sz val="9"/>
            <color indexed="81"/>
            <rFont val="Tahoma"/>
            <family val="2"/>
          </rPr>
          <t>Year open: N2.55k. Adjusted dividend of N0.35k.</t>
        </r>
      </text>
    </comment>
    <comment ref="J55" authorId="1" shapeId="0" xr:uid="{B44D4EEA-6C78-4EA4-9AA0-61B3EDE7687B}">
      <text>
        <r>
          <rPr>
            <sz val="9"/>
            <color indexed="81"/>
            <rFont val="Tahoma"/>
            <family val="2"/>
          </rPr>
          <t xml:space="preserve">Year open: N26.00k. 
Adjusted for: 
final dividend FY 2021 -N2.70k.
</t>
        </r>
      </text>
    </comment>
    <comment ref="J57" authorId="0" shapeId="0" xr:uid="{FC8F0514-07F1-400E-8012-99C478467C1F}">
      <text>
        <r>
          <rPr>
            <sz val="9"/>
            <color indexed="81"/>
            <rFont val="Tahoma"/>
            <family val="2"/>
          </rPr>
          <t>Year open: N38.00k. 
Adjusted for: 
final dividend FY 2021 -N2.00k.</t>
        </r>
      </text>
    </comment>
    <comment ref="J60" authorId="0" shapeId="0" xr:uid="{7E15241F-87EC-415F-A438-B252F49AA320}">
      <text>
        <r>
          <rPr>
            <sz val="9"/>
            <color indexed="81"/>
            <rFont val="Tahoma"/>
            <family val="2"/>
          </rPr>
          <t>Year open: N8.05k. 
Adjusted for: 
final dividend FY 2021 -N0.80k.</t>
        </r>
      </text>
    </comment>
    <comment ref="J63" authorId="0" shapeId="0" xr:uid="{C0898305-BB8C-4E78-82CA-C4E177741077}">
      <text>
        <r>
          <rPr>
            <sz val="9"/>
            <color indexed="81"/>
            <rFont val="Tahoma"/>
            <family val="2"/>
          </rPr>
          <t>Year open: N0.79k. Adjusted dividend of N0.24k.</t>
        </r>
      </text>
    </comment>
    <comment ref="J64" authorId="1" shapeId="0" xr:uid="{1F3E57AF-52CD-4BBA-BF6F-50BD08DFCDBA}">
      <text>
        <r>
          <rPr>
            <sz val="9"/>
            <color indexed="81"/>
            <rFont val="Tahoma"/>
            <family val="2"/>
          </rPr>
          <t xml:space="preserve">Year open: N25.30k. 
Adjusted for: 
final dividend FY 2021 -N2.80k.
</t>
        </r>
      </text>
    </comment>
    <comment ref="J75" authorId="0" shapeId="0" xr:uid="{EB07FF80-5B51-4EAB-9ABB-EB1800BC9E9C}">
      <text>
        <r>
          <rPr>
            <sz val="9"/>
            <color indexed="81"/>
            <rFont val="Tahoma"/>
            <family val="2"/>
          </rPr>
          <t>Year open: N2.32k. Adjusted dividend of N0.25k.</t>
        </r>
      </text>
    </comment>
    <comment ref="J77" authorId="0" shapeId="0" xr:uid="{0E202AA1-71A4-4909-A37B-D7BA8C0BB7DF}">
      <text>
        <r>
          <rPr>
            <sz val="9"/>
            <color indexed="81"/>
            <rFont val="Tahoma"/>
            <family val="2"/>
          </rPr>
          <t>Year open: N4.50k. Adjusted dividend of N0.22k.</t>
        </r>
      </text>
    </comment>
    <comment ref="J89" authorId="0" shapeId="0" xr:uid="{7E7C143D-9F47-452E-8730-3D844F92B245}">
      <text>
        <r>
          <rPr>
            <sz val="9"/>
            <color indexed="81"/>
            <rFont val="Tahoma"/>
            <family val="2"/>
          </rPr>
          <t>Year open: N1.32k. Adjusted dividend of N0.05k.</t>
        </r>
      </text>
    </comment>
    <comment ref="J90" authorId="0" shapeId="0" xr:uid="{2AD685C5-81AC-415F-B0BC-D06A602CE631}">
      <text>
        <r>
          <rPr>
            <sz val="9"/>
            <color indexed="81"/>
            <rFont val="Tahoma"/>
            <family val="2"/>
          </rPr>
          <t>Year open: N3.02k. Adjusted dividend of N1.91k.</t>
        </r>
      </text>
    </comment>
    <comment ref="J92" authorId="0" shapeId="0" xr:uid="{2F6DF462-3700-4927-8BEA-DC22CAC27606}">
      <text>
        <r>
          <rPr>
            <sz val="9"/>
            <color indexed="81"/>
            <rFont val="Tahoma"/>
            <family val="2"/>
          </rPr>
          <t>Year open: N6.30k. Adjusted dividend of N0.50k.</t>
        </r>
      </text>
    </comment>
    <comment ref="J93" authorId="0" shapeId="0" xr:uid="{BD3993E8-470A-444A-A3F4-63B47438900D}">
      <text>
        <r>
          <rPr>
            <sz val="9"/>
            <color indexed="81"/>
            <rFont val="Tahoma"/>
            <family val="2"/>
          </rPr>
          <t>Year open: N7.90k. 
Adjusted for: 
final dividend FY 2021 -N0.40k.</t>
        </r>
      </text>
    </comment>
    <comment ref="J97" authorId="1" shapeId="0" xr:uid="{ED1333D1-6592-496C-9D28-E7B9DCF6ECDD}">
      <text>
        <r>
          <rPr>
            <sz val="9"/>
            <color indexed="81"/>
            <rFont val="Tahoma"/>
            <family val="2"/>
          </rPr>
          <t xml:space="preserve">Year open: N9.95k. Adjusted dividend of N0.50k.
</t>
        </r>
      </text>
    </comment>
    <comment ref="J104" authorId="0" shapeId="0" xr:uid="{D8A3F2E9-0E50-4B0A-8553-78E3A5FC665F}">
      <text>
        <r>
          <rPr>
            <sz val="9"/>
            <color indexed="81"/>
            <rFont val="Tahoma"/>
            <family val="2"/>
          </rPr>
          <t>Year open: N5.95k. Adjusted dividend of N0.45k.</t>
        </r>
      </text>
    </comment>
    <comment ref="J106" authorId="0" shapeId="0" xr:uid="{2275AECE-2013-4F02-B83C-B32695B6D905}">
      <text>
        <r>
          <rPr>
            <sz val="9"/>
            <color indexed="81"/>
            <rFont val="Tahoma"/>
            <family val="2"/>
          </rPr>
          <t>Year open: N1.89k. Adjusted dividend of N0.07k.</t>
        </r>
      </text>
    </comment>
    <comment ref="J117" authorId="0" shapeId="0" xr:uid="{5B87D16A-405C-4DA7-B429-2DBCE85A91C5}">
      <text>
        <r>
          <rPr>
            <sz val="9"/>
            <color indexed="81"/>
            <rFont val="Tahoma"/>
            <family val="2"/>
          </rPr>
          <t>Year open: N197.00k. 
Adjusted for: 
final dividend FY 2021 -N8.57k.</t>
        </r>
      </text>
    </comment>
    <comment ref="J122" authorId="0" shapeId="0" xr:uid="{83292FB1-2087-42E3-BCBB-A971939E8944}">
      <text>
        <r>
          <rPr>
            <sz val="9"/>
            <color indexed="81"/>
            <rFont val="Tahoma"/>
            <family val="2"/>
          </rPr>
          <t>Year open: N8.55k. Adjusted dividend of N0.40k.</t>
        </r>
      </text>
    </comment>
    <comment ref="J128" authorId="0" shapeId="0" xr:uid="{1231F6A9-AF61-4E08-AC72-93829A662801}">
      <text>
        <r>
          <rPr>
            <sz val="9"/>
            <color indexed="81"/>
            <rFont val="Tahoma"/>
            <family val="2"/>
          </rPr>
          <t>Year open: N24.00k. 
Adjusted for: 
final dividend FY 2021 -N1.00k.</t>
        </r>
      </text>
    </comment>
    <comment ref="J148" authorId="0" shapeId="0" xr:uid="{58BD9619-336F-4822-9A47-060D3B367E92}">
      <text>
        <r>
          <rPr>
            <sz val="9"/>
            <color indexed="81"/>
            <rFont val="Tahoma"/>
            <family val="2"/>
          </rPr>
          <t>Year open: N221.90k. Adjusted dividend of N18.20k.</t>
        </r>
      </text>
    </comment>
    <comment ref="J163" authorId="1" shapeId="0" xr:uid="{446CF0AE-E26D-4331-AE12-B457E49710C9}">
      <text>
        <r>
          <rPr>
            <sz val="9"/>
            <color indexed="81"/>
            <rFont val="Tahoma"/>
            <family val="2"/>
          </rPr>
          <t>Year open: N5.38k. Adjusted dividend of N0.07k.</t>
        </r>
      </text>
    </comment>
  </commentList>
</comments>
</file>

<file path=xl/sharedStrings.xml><?xml version="1.0" encoding="utf-8"?>
<sst xmlns="http://schemas.openxmlformats.org/spreadsheetml/2006/main" count="1953" uniqueCount="681">
  <si>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</si>
  <si>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</si>
  <si>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</si>
  <si>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</si>
  <si>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</si>
  <si>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</si>
  <si>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</si>
  <si>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</si>
  <si>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</si>
  <si>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</si>
  <si>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</si>
  <si>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</si>
  <si>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</si>
  <si>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</si>
  <si>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</si>
  <si>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</si>
  <si>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</si>
  <si>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</si>
  <si>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</si>
  <si>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</si>
  <si>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</si>
  <si>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</si>
  <si>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</si>
  <si>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</si>
  <si>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</si>
  <si>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</si>
  <si>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</si>
  <si>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</si>
  <si>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</si>
  <si>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</si>
  <si>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</si>
  <si>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</si>
  <si>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</si>
  <si>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</si>
  <si>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</si>
  <si>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</si>
  <si>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</si>
  <si>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</si>
  <si>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</si>
  <si>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</si>
  <si>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</si>
  <si>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</si>
  <si>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</si>
  <si>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</si>
  <si>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</si>
  <si>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</si>
  <si>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</si>
  <si>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</si>
  <si>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</si>
  <si>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</si>
  <si>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</si>
  <si>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</si>
  <si>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</si>
  <si>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</si>
  <si>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</si>
  <si>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</si>
  <si>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</si>
  <si>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</si>
  <si>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</si>
  <si>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</si>
  <si>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</si>
  <si>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FLOUR MILLS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</si>
  <si>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</si>
  <si>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</si>
  <si>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</si>
  <si>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</si>
  <si>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</si>
  <si>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</si>
  <si>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</si>
  <si>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</si>
  <si>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</si>
  <si>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</si>
  <si>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</si>
  <si>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</si>
  <si>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</si>
  <si>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</si>
  <si>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</si>
  <si>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</si>
  <si>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</si>
  <si>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</si>
  <si>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</si>
  <si>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</si>
  <si>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</si>
  <si>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</si>
  <si>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</si>
  <si>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</si>
  <si>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</si>
  <si>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</si>
  <si>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</si>
  <si>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</si>
  <si>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</si>
  <si>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</si>
  <si>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</si>
  <si>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</si>
  <si>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</si>
  <si>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</si>
  <si>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</si>
  <si>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</si>
  <si>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</si>
  <si>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</si>
  <si>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</si>
  <si>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</si>
  <si>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</si>
  <si>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</si>
  <si>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</si>
  <si>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</si>
  <si>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</si>
  <si>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</si>
  <si>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</si>
  <si>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</si>
  <si>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</si>
  <si>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</si>
  <si>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</si>
  <si>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</si>
  <si>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</si>
  <si>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</si>
  <si>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</si>
  <si>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</si>
  <si>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</si>
  <si>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</si>
  <si>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</si>
  <si>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</si>
  <si>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</si>
  <si>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</si>
  <si>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</si>
  <si>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</si>
  <si>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</si>
  <si>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</si>
  <si>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</si>
  <si>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</si>
  <si>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</si>
  <si>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</si>
  <si>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</si>
  <si>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</si>
  <si>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</si>
  <si>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</si>
  <si>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</si>
  <si>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</si>
  <si>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</si>
  <si>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</si>
  <si>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</si>
  <si>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</si>
  <si>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</si>
  <si>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</si>
  <si>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</si>
  <si>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</si>
  <si>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</si>
  <si>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</si>
  <si>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</si>
  <si>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</si>
  <si>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</si>
  <si>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</si>
  <si>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</si>
  <si>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</si>
  <si>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</si>
  <si>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</si>
  <si>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</si>
  <si>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</si>
  <si>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</si>
  <si>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</si>
  <si>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</si>
  <si>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</si>
  <si>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</si>
  <si>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</si>
  <si>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</si>
  <si>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</si>
  <si>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</si>
  <si>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</si>
  <si>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</si>
  <si>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</si>
  <si>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</si>
  <si>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</si>
  <si>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</si>
  <si>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</si>
  <si>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</si>
  <si>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</si>
  <si>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</si>
  <si>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</si>
  <si>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</si>
  <si>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</si>
  <si>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</si>
  <si>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</si>
  <si>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</si>
  <si>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</si>
  <si>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</si>
  <si>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</si>
  <si>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</si>
  <si>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</si>
  <si>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</si>
  <si>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</si>
  <si>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</si>
  <si>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</si>
  <si>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</si>
  <si>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</si>
  <si>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</si>
  <si>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</si>
  <si>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</si>
  <si>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</si>
  <si>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</si>
  <si>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</si>
  <si>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</si>
  <si>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</si>
  <si>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</si>
  <si>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</si>
  <si>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</si>
  <si>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</si>
  <si>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</si>
  <si>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</si>
  <si>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</si>
  <si>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</si>
  <si>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</si>
  <si>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</si>
  <si>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</si>
  <si>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</si>
  <si>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</si>
  <si>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</si>
  <si>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</si>
  <si>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HIGH</t>
  </si>
  <si>
    <t>LOW</t>
  </si>
  <si>
    <t>CLOSE</t>
  </si>
  <si>
    <t>VOLUME</t>
  </si>
  <si>
    <t xml:space="preserve"> </t>
  </si>
  <si>
    <t>WSTC SECURITIES LIMITED</t>
  </si>
  <si>
    <t xml:space="preserve">    </t>
  </si>
  <si>
    <t>SUNU ASSURANCES NIGERIA PLC</t>
  </si>
  <si>
    <t>JAPAUL GOLD &amp; VENTURES PLC</t>
  </si>
  <si>
    <t>ARDOVA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</si>
  <si>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</si>
  <si>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</si>
  <si>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</si>
  <si>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</si>
  <si>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</si>
  <si>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</si>
  <si>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</si>
  <si>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</si>
  <si>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</si>
  <si>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</si>
  <si>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</si>
  <si>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</si>
  <si>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</si>
  <si>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</si>
  <si>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</si>
  <si>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</si>
  <si>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</si>
  <si>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</si>
  <si>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</si>
  <si>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</si>
  <si>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</si>
  <si>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</si>
  <si>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</si>
  <si>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</si>
  <si>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</si>
  <si>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</si>
  <si>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</si>
  <si>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January 10, 2021</t>
  </si>
  <si>
    <t>INDUSTRIAL &amp; MEDICAL GASES NIGERIA PLC</t>
  </si>
  <si>
    <t>BUA FOODS</t>
  </si>
  <si>
    <t>Nil</t>
  </si>
  <si>
    <t>ZENITH BANK</t>
  </si>
  <si>
    <t>March 10, 2022</t>
  </si>
  <si>
    <t>June 2, 2022</t>
  </si>
  <si>
    <t>May 6, 2022</t>
  </si>
  <si>
    <t>March 9, 2022</t>
  </si>
  <si>
    <t>April 7, 2022</t>
  </si>
  <si>
    <t>April 4, 2022</t>
  </si>
  <si>
    <t>June 6, 2022</t>
  </si>
  <si>
    <t>March 4, 2022</t>
  </si>
  <si>
    <t>April 8, 2022</t>
  </si>
  <si>
    <t>April 6, 2022</t>
  </si>
  <si>
    <t>April 5, 2022</t>
  </si>
  <si>
    <t>MTNN</t>
  </si>
  <si>
    <t>GT HOLDCO</t>
  </si>
  <si>
    <t>AXA MANSARD</t>
  </si>
  <si>
    <t>ACCESS HOLDINGS PLC</t>
  </si>
  <si>
    <t>AIRTEL AFRICA</t>
  </si>
  <si>
    <t>NIGERIAN BREWERIES</t>
  </si>
  <si>
    <t>FBNH</t>
  </si>
  <si>
    <t>INTERIM REPORT FOR THREE MONTHS ENDED MARCH 31, 2022</t>
  </si>
  <si>
    <t>N'm</t>
  </si>
  <si>
    <t>Gross earnings</t>
  </si>
  <si>
    <t xml:space="preserve">Profit before tax </t>
  </si>
  <si>
    <t>Income tax</t>
  </si>
  <si>
    <t xml:space="preserve">Profit after tax </t>
  </si>
  <si>
    <t>Balance Sheet Information:</t>
  </si>
  <si>
    <t>FY 2021</t>
  </si>
  <si>
    <t>Assets</t>
  </si>
  <si>
    <t>Cash &amp; cash equivalents</t>
  </si>
  <si>
    <t>Pledged assets</t>
  </si>
  <si>
    <t>Derivative assets</t>
  </si>
  <si>
    <t xml:space="preserve">Other assets  </t>
  </si>
  <si>
    <t xml:space="preserve">Property &amp; equipment   </t>
  </si>
  <si>
    <t>Intangible assets</t>
  </si>
  <si>
    <t>Deferred tax assets</t>
  </si>
  <si>
    <t xml:space="preserve">Total Assets  </t>
  </si>
  <si>
    <t>Liabilities</t>
  </si>
  <si>
    <t>Trading liabilities</t>
  </si>
  <si>
    <t>Derivative liabilities</t>
  </si>
  <si>
    <t>Debt Securities Issued</t>
  </si>
  <si>
    <t>Provisions</t>
  </si>
  <si>
    <t>Other liabilities</t>
  </si>
  <si>
    <t>Total Liabilities</t>
  </si>
  <si>
    <t>Equity</t>
  </si>
  <si>
    <t>Share capital</t>
  </si>
  <si>
    <t>Share premium</t>
  </si>
  <si>
    <t>NCI</t>
  </si>
  <si>
    <t>Net Assets</t>
  </si>
  <si>
    <t>Revenue</t>
  </si>
  <si>
    <t>Cost of sales</t>
  </si>
  <si>
    <t>Profit before tax</t>
  </si>
  <si>
    <t>Profit after tax</t>
  </si>
  <si>
    <t>3M 2022</t>
  </si>
  <si>
    <t>Non-current assets</t>
  </si>
  <si>
    <t>Property, plant and equipment</t>
  </si>
  <si>
    <t>Total non-current assets</t>
  </si>
  <si>
    <t>Current assets</t>
  </si>
  <si>
    <t>Inventories</t>
  </si>
  <si>
    <t>Trade and other receivables</t>
  </si>
  <si>
    <t>Cash and cash equivalents</t>
  </si>
  <si>
    <t>Total current assets</t>
  </si>
  <si>
    <t>Total Assets</t>
  </si>
  <si>
    <t>Non-current liabilities</t>
  </si>
  <si>
    <t>Deferred tax liabilities</t>
  </si>
  <si>
    <t>Total non-current liabilities</t>
  </si>
  <si>
    <t>Current liabilities</t>
  </si>
  <si>
    <t>Current tax liabilities</t>
  </si>
  <si>
    <t>Trade and other payables</t>
  </si>
  <si>
    <t>Deferred revenue</t>
  </si>
  <si>
    <t>Retained earnings</t>
  </si>
  <si>
    <t>Other reserves</t>
  </si>
  <si>
    <t>FY 2022</t>
  </si>
  <si>
    <t xml:space="preserve">Investment securities </t>
  </si>
  <si>
    <t>Right of use assets</t>
  </si>
  <si>
    <t>Investment in associates</t>
  </si>
  <si>
    <t xml:space="preserve">Property and equipment </t>
  </si>
  <si>
    <t>Other borrowed funds</t>
  </si>
  <si>
    <t xml:space="preserve">Net Assets  </t>
  </si>
  <si>
    <t>Total current liabilities</t>
  </si>
  <si>
    <t>FCMB GROUP PLC</t>
  </si>
  <si>
    <t>UBA PLC</t>
  </si>
  <si>
    <t>3M 2021</t>
  </si>
  <si>
    <t>Q1 2022</t>
  </si>
  <si>
    <t>Cash and bank balances</t>
  </si>
  <si>
    <t>Non-pledged trading assets</t>
  </si>
  <si>
    <t>Financial assets held for trading</t>
  </si>
  <si>
    <t>Restricted revenue deposit</t>
  </si>
  <si>
    <t xml:space="preserve">Derivative assets held for risk management </t>
  </si>
  <si>
    <t>Loans and advances to banks</t>
  </si>
  <si>
    <t>Loans &amp; advances to customers</t>
  </si>
  <si>
    <t>Loans and advances to customers</t>
  </si>
  <si>
    <t>Assets pledged as collateral</t>
  </si>
  <si>
    <t xml:space="preserve">Investment securities - fair value through other comprehensive income  </t>
  </si>
  <si>
    <t>Investment securities - at amortised cost</t>
  </si>
  <si>
    <t>Other assets</t>
  </si>
  <si>
    <t>Property and equipment</t>
  </si>
  <si>
    <t>Investment in equity-accounted investee</t>
  </si>
  <si>
    <t xml:space="preserve">Intangible assets  </t>
  </si>
  <si>
    <t>Non-current assets held for sale</t>
  </si>
  <si>
    <t xml:space="preserve">Derivative liabilities held for risk management </t>
  </si>
  <si>
    <t xml:space="preserve">Deposits from banks </t>
  </si>
  <si>
    <t>Deposits from banks</t>
  </si>
  <si>
    <t>Deposits from customers</t>
  </si>
  <si>
    <t>Borrowings</t>
  </si>
  <si>
    <t>On-lending facilities</t>
  </si>
  <si>
    <t>Debt securities issued</t>
  </si>
  <si>
    <t xml:space="preserve">Retirement benefit obligations </t>
  </si>
  <si>
    <t xml:space="preserve">Current income tax liabilities </t>
  </si>
  <si>
    <t xml:space="preserve">Total Liabilities  </t>
  </si>
  <si>
    <t xml:space="preserve">Deferred tax liabilities </t>
  </si>
  <si>
    <t xml:space="preserve">Total Liabilities   </t>
  </si>
  <si>
    <t>Non-controlling interests</t>
  </si>
  <si>
    <t>Retained earning</t>
  </si>
  <si>
    <t>UPDC PLC</t>
  </si>
  <si>
    <t>Non-controlling Interests</t>
  </si>
  <si>
    <t xml:space="preserve">Net Assets    </t>
  </si>
  <si>
    <t>LIVESTOCK FEEDS PLC</t>
  </si>
  <si>
    <t>Loss before tax</t>
  </si>
  <si>
    <t>Loss from continuing operations</t>
  </si>
  <si>
    <t>Cost of Sales</t>
  </si>
  <si>
    <t>Tax</t>
  </si>
  <si>
    <t>Plant, property &amp; equipment</t>
  </si>
  <si>
    <t>Investment in joint ventures</t>
  </si>
  <si>
    <t>Equity instrument at fair value</t>
  </si>
  <si>
    <t>Current tax assets</t>
  </si>
  <si>
    <t>Cash at bank and in hand</t>
  </si>
  <si>
    <t>Assets held for sale</t>
  </si>
  <si>
    <t>Refund assets</t>
  </si>
  <si>
    <t>Prepayments</t>
  </si>
  <si>
    <t>Other financial assets</t>
  </si>
  <si>
    <t>Cash and short term deposits</t>
  </si>
  <si>
    <t>Total assets</t>
  </si>
  <si>
    <t>Interest-bearing loans and borrowings</t>
  </si>
  <si>
    <t>Deferred taxation liabilities</t>
  </si>
  <si>
    <t xml:space="preserve">Liabilities </t>
  </si>
  <si>
    <t xml:space="preserve">Deferred taxation </t>
  </si>
  <si>
    <t>Current income tax liabilities</t>
  </si>
  <si>
    <t>Current Liabilities</t>
  </si>
  <si>
    <t>Dividend payable</t>
  </si>
  <si>
    <t>Refund liabilities</t>
  </si>
  <si>
    <t>Liabilities held for sale</t>
  </si>
  <si>
    <t>Income tax payable</t>
  </si>
  <si>
    <t>Borrowing</t>
  </si>
  <si>
    <t xml:space="preserve">Total Liabilities </t>
  </si>
  <si>
    <t xml:space="preserve">Equity </t>
  </si>
  <si>
    <t>Fair value reserve of financial assets at FVOCI</t>
  </si>
  <si>
    <t>Issued capital</t>
  </si>
  <si>
    <t>Revenue reserve</t>
  </si>
  <si>
    <t>NIGERIAN BREWERIES PLC</t>
  </si>
  <si>
    <t>CHAMPION BREWERIES PLC</t>
  </si>
  <si>
    <t> </t>
  </si>
  <si>
    <t>Net Revenue</t>
  </si>
  <si>
    <t>Taxation</t>
  </si>
  <si>
    <t>Property, plant &amp; equipment</t>
  </si>
  <si>
    <t>Right of use asset</t>
  </si>
  <si>
    <t>Intangible assets and goodwill</t>
  </si>
  <si>
    <t>Investments</t>
  </si>
  <si>
    <t>Other receivables</t>
  </si>
  <si>
    <t>Prepayment</t>
  </si>
  <si>
    <t xml:space="preserve">Inventories </t>
  </si>
  <si>
    <t>Deposits for imports</t>
  </si>
  <si>
    <t>Employee benefits</t>
  </si>
  <si>
    <t>Lease liabilities</t>
  </si>
  <si>
    <t>Loans and borrowings</t>
  </si>
  <si>
    <t>Other reserve</t>
  </si>
  <si>
    <t>Accumulated gains/(loss)</t>
  </si>
  <si>
    <t>LAFARGE AFRICA PLC</t>
  </si>
  <si>
    <t>Share based payment reserve</t>
  </si>
  <si>
    <t>UNILEVER NIGERIA PLC</t>
  </si>
  <si>
    <t>Profit for the year</t>
  </si>
  <si>
    <t xml:space="preserve">Cash and cash equivalents </t>
  </si>
  <si>
    <t>Asset held for sale</t>
  </si>
  <si>
    <t>Deferred income</t>
  </si>
  <si>
    <t>Employee benefits obligations</t>
  </si>
  <si>
    <t>Retirement benefit obligation</t>
  </si>
  <si>
    <t>Retirement benefit deficit</t>
  </si>
  <si>
    <t>Long service award obligations</t>
  </si>
  <si>
    <t>SEPLAT PETROLEUM DEVELOPMENT COMPANY PLC</t>
  </si>
  <si>
    <t>Q1 2021</t>
  </si>
  <si>
    <t>(Loss)/profit before taxation</t>
  </si>
  <si>
    <t>(Loss)/profit for the period</t>
  </si>
  <si>
    <t xml:space="preserve">Oil and gas properties </t>
  </si>
  <si>
    <t xml:space="preserve">Other property plant and equipment </t>
  </si>
  <si>
    <t>Right-of-use assets</t>
  </si>
  <si>
    <t>Other asset</t>
  </si>
  <si>
    <t>Investment accounted for using equity methods</t>
  </si>
  <si>
    <t xml:space="preserve">Prepayments </t>
  </si>
  <si>
    <t>Deferred tax</t>
  </si>
  <si>
    <t>Withholding tax receivables</t>
  </si>
  <si>
    <t>Trade and other receivables (current)</t>
  </si>
  <si>
    <t>Prepayments (current)</t>
  </si>
  <si>
    <t xml:space="preserve">Trade and other receivables  </t>
  </si>
  <si>
    <t>Contract assets</t>
  </si>
  <si>
    <t>Restricted cash</t>
  </si>
  <si>
    <t xml:space="preserve">Total Assets </t>
  </si>
  <si>
    <t>Interest bearing loans &amp; borrowings</t>
  </si>
  <si>
    <t>Provisioning for decommissioning obligation</t>
  </si>
  <si>
    <t>Defined benefit plan</t>
  </si>
  <si>
    <t>Trade &amp; other payables</t>
  </si>
  <si>
    <t>Deferred income (current)</t>
  </si>
  <si>
    <t>Derivative financial instruments</t>
  </si>
  <si>
    <t>Net Asset</t>
  </si>
  <si>
    <t>Total liabilities</t>
  </si>
  <si>
    <t>CHEMICAL AND ALLIED PRODUCTS PLC</t>
  </si>
  <si>
    <t>INTERIM REPORT FOR THREE MONTHS  ENDED MARCH 31, 2022</t>
  </si>
  <si>
    <t>Treasury shares</t>
  </si>
  <si>
    <t xml:space="preserve">Revenue </t>
  </si>
  <si>
    <t>Capital contribution</t>
  </si>
  <si>
    <t>Foreign currency translation reserve</t>
  </si>
  <si>
    <t>Non-controlling interest</t>
  </si>
  <si>
    <t>CADBURY NIGERIA PLC</t>
  </si>
  <si>
    <t>Finance lease receivable</t>
  </si>
  <si>
    <t>Property, plan and equipment</t>
  </si>
  <si>
    <t>Lease liability</t>
  </si>
  <si>
    <t>Current income tax</t>
  </si>
  <si>
    <t>Bank Facility (IFF)</t>
  </si>
  <si>
    <t>Deferred taxation</t>
  </si>
  <si>
    <t>Other reserves from business combination</t>
  </si>
  <si>
    <t>ACCESS BANK PLC</t>
  </si>
  <si>
    <t>INTERIM REPORT FOR THE YEAR ENDED MARCH 31, 2022</t>
  </si>
  <si>
    <t>Profit from continuing operations</t>
  </si>
  <si>
    <t>GLAXOSMITHKLINE CONSUMER NIGERIA PLC</t>
  </si>
  <si>
    <t>Investment under management</t>
  </si>
  <si>
    <t>Non pledged trading assets</t>
  </si>
  <si>
    <t>Investment securities</t>
  </si>
  <si>
    <t>Investment properties</t>
  </si>
  <si>
    <t xml:space="preserve">Property plant and equipment </t>
  </si>
  <si>
    <t>Deferred tax asset</t>
  </si>
  <si>
    <t>Deferred income tax assets</t>
  </si>
  <si>
    <t>Assets classified as held for sale</t>
  </si>
  <si>
    <t>Deposits from financial institutions</t>
  </si>
  <si>
    <t xml:space="preserve">Inventories  </t>
  </si>
  <si>
    <t>Interest-bearing borrowings</t>
  </si>
  <si>
    <t>Liability for share-based prepayments</t>
  </si>
  <si>
    <t>Additional Tier 1 capital</t>
  </si>
  <si>
    <t xml:space="preserve">Trade and other payables  </t>
  </si>
  <si>
    <t>Other components of equity</t>
  </si>
  <si>
    <t>Contract liabilities</t>
  </si>
  <si>
    <t>CUSTODIAN INVESTMENT PLC</t>
  </si>
  <si>
    <t>Issued share capital</t>
  </si>
  <si>
    <t>Gross revenue</t>
  </si>
  <si>
    <t>AIICO INSURANCE PLC</t>
  </si>
  <si>
    <t>Trade receivables</t>
  </si>
  <si>
    <t>Gross premium income</t>
  </si>
  <si>
    <t>Financial assets</t>
  </si>
  <si>
    <t>Reinsurance assets</t>
  </si>
  <si>
    <t>Deferred acquisition costs</t>
  </si>
  <si>
    <t>Other receivables and prepayments</t>
  </si>
  <si>
    <t>Investments in joint ventures</t>
  </si>
  <si>
    <t>Investments in associates</t>
  </si>
  <si>
    <t xml:space="preserve">Financial assets </t>
  </si>
  <si>
    <t>Trade receivable s</t>
  </si>
  <si>
    <t>Assets of disposal group classified as held for sale</t>
  </si>
  <si>
    <t xml:space="preserve">Reinsurance assets </t>
  </si>
  <si>
    <t xml:space="preserve">Deferred acquisition cost </t>
  </si>
  <si>
    <t xml:space="preserve">Other receivables and prepayments </t>
  </si>
  <si>
    <t>Statutory deposits</t>
  </si>
  <si>
    <t xml:space="preserve">Deferred tax asset </t>
  </si>
  <si>
    <t>Investment in associate</t>
  </si>
  <si>
    <t xml:space="preserve">Investment property </t>
  </si>
  <si>
    <t>Insurance contract liabilities</t>
  </si>
  <si>
    <t xml:space="preserve">Goodwill and other intangible assets </t>
  </si>
  <si>
    <t>Investment contract liabilities</t>
  </si>
  <si>
    <t xml:space="preserve">Statutory deposit </t>
  </si>
  <si>
    <t>Trade payables</t>
  </si>
  <si>
    <t>Liabilities of disposal group classified as held for sale</t>
  </si>
  <si>
    <t>Other payables</t>
  </si>
  <si>
    <t>Current income tax payables</t>
  </si>
  <si>
    <t xml:space="preserve">Insurance contract liabilities </t>
  </si>
  <si>
    <t xml:space="preserve">Investment contract liabilities </t>
  </si>
  <si>
    <t xml:space="preserve">Trade payables </t>
  </si>
  <si>
    <t xml:space="preserve">Other payables and accruals </t>
  </si>
  <si>
    <t>Fixed income liabilities</t>
  </si>
  <si>
    <t>Issue shared capital</t>
  </si>
  <si>
    <t xml:space="preserve">Current tax payable </t>
  </si>
  <si>
    <t>Contingency reserve</t>
  </si>
  <si>
    <t>Fair value reserve</t>
  </si>
  <si>
    <t>Revaluation reserve</t>
  </si>
  <si>
    <t>Revaluation reserves</t>
  </si>
  <si>
    <t>Fair value reserves</t>
  </si>
  <si>
    <t>Foreign exchange reserves</t>
  </si>
  <si>
    <t>Non-controlling assets</t>
  </si>
  <si>
    <t>GUINNESS NIGERIA PLC</t>
  </si>
  <si>
    <t>INTERIM REPORT FOR NINE MONTHS ENDED MARCH 31, 2022</t>
  </si>
  <si>
    <t>9M 2022</t>
  </si>
  <si>
    <t xml:space="preserve">Property, plant and equipment </t>
  </si>
  <si>
    <t xml:space="preserve">Right of use assets </t>
  </si>
  <si>
    <t>Intangible Assets</t>
  </si>
  <si>
    <t xml:space="preserve">Lease liabilities </t>
  </si>
  <si>
    <t>Short -term loans and borrowings</t>
  </si>
  <si>
    <t>NATIONAL SALT COMPANY OF NIGERIA PLC</t>
  </si>
  <si>
    <t>Cash and cash balances</t>
  </si>
  <si>
    <t>Financial assets at FVTPL</t>
  </si>
  <si>
    <t xml:space="preserve">Property, plant and equipment  </t>
  </si>
  <si>
    <t>Derivative financial assets</t>
  </si>
  <si>
    <t>Investment securities:</t>
  </si>
  <si>
    <t>fair value through P or L</t>
  </si>
  <si>
    <t>fair value through OCI</t>
  </si>
  <si>
    <t>held at amortised cost</t>
  </si>
  <si>
    <t xml:space="preserve">Assets pledged as collateral  </t>
  </si>
  <si>
    <t>Restricted deposits and other assets</t>
  </si>
  <si>
    <t xml:space="preserve">Cash and bank  </t>
  </si>
  <si>
    <t xml:space="preserve">Intangible Assets </t>
  </si>
  <si>
    <t xml:space="preserve">Borrowings </t>
  </si>
  <si>
    <t xml:space="preserve">Retirement benefit obligation  </t>
  </si>
  <si>
    <t>Derivative financial liabilities</t>
  </si>
  <si>
    <t xml:space="preserve">Deferred tax liabilities  </t>
  </si>
  <si>
    <t xml:space="preserve">Contract liabilities </t>
  </si>
  <si>
    <t>Current tax payable</t>
  </si>
  <si>
    <t xml:space="preserve">Share capital </t>
  </si>
  <si>
    <t>PHARMA-DEKO PLC</t>
  </si>
  <si>
    <t xml:space="preserve">Property, plant &amp; equipment </t>
  </si>
  <si>
    <t>Capital work in progress</t>
  </si>
  <si>
    <t>Intangible asset</t>
  </si>
  <si>
    <t xml:space="preserve">Trade receivables  </t>
  </si>
  <si>
    <t xml:space="preserve">Other receivables &amp; prepayment  </t>
  </si>
  <si>
    <t xml:space="preserve">Cash and cash equivalents  </t>
  </si>
  <si>
    <t>Loans to related party</t>
  </si>
  <si>
    <t>Deferred tax liability</t>
  </si>
  <si>
    <t>Loans and borrowings (private placement)</t>
  </si>
  <si>
    <t>Deposit for shares</t>
  </si>
  <si>
    <t xml:space="preserve">Dividend payable </t>
  </si>
  <si>
    <t xml:space="preserve">Tax payables </t>
  </si>
  <si>
    <t xml:space="preserve">Total current liabilities </t>
  </si>
  <si>
    <t>Due to related parties</t>
  </si>
  <si>
    <t>Ordinary share capital</t>
  </si>
  <si>
    <t xml:space="preserve">Total non-current liabilities </t>
  </si>
  <si>
    <t>Retained (loss)/earnings</t>
  </si>
  <si>
    <t>ZENITH BANK PLC</t>
  </si>
  <si>
    <t xml:space="preserve">Treasury bills </t>
  </si>
  <si>
    <t xml:space="preserve">Assets pledged as collateral </t>
  </si>
  <si>
    <t>Due from other banks</t>
  </si>
  <si>
    <t xml:space="preserve">Loans and advances </t>
  </si>
  <si>
    <t>Customers' deposits</t>
  </si>
  <si>
    <t xml:space="preserve">Current income tax payable </t>
  </si>
  <si>
    <t xml:space="preserve">Borrowings  </t>
  </si>
  <si>
    <t xml:space="preserve">Other reserves </t>
  </si>
  <si>
    <t>Operating costs</t>
  </si>
  <si>
    <t>Operating profit</t>
  </si>
  <si>
    <t>Net finance costs</t>
  </si>
  <si>
    <t>Right of use of assets</t>
  </si>
  <si>
    <t>Other investments</t>
  </si>
  <si>
    <t>Other non current assets</t>
  </si>
  <si>
    <t>Current investments</t>
  </si>
  <si>
    <t>Share based payment liability</t>
  </si>
  <si>
    <t>Derivatives</t>
  </si>
  <si>
    <t>Other current liabilities</t>
  </si>
  <si>
    <t>UNION BANK OF NIGERIA PLC</t>
  </si>
  <si>
    <t>INTERIM REPORT FOR THREE MONTHS MARCH 31, 2022</t>
  </si>
  <si>
    <t xml:space="preserve">Derivatives assets held for risk management </t>
  </si>
  <si>
    <t xml:space="preserve">Loans and advances to customers at amortised cost </t>
  </si>
  <si>
    <t xml:space="preserve">Trading properties </t>
  </si>
  <si>
    <t xml:space="preserve">Intangible assets </t>
  </si>
  <si>
    <t>Defined benefit assets</t>
  </si>
  <si>
    <t xml:space="preserve">Assets classified as held for sale </t>
  </si>
  <si>
    <t xml:space="preserve">Deposits from customers </t>
  </si>
  <si>
    <t xml:space="preserve">Other liabilities </t>
  </si>
  <si>
    <t>Commercial papers</t>
  </si>
  <si>
    <t>Long term subordinated bond</t>
  </si>
  <si>
    <t>Liabilities classified as held for sale</t>
  </si>
  <si>
    <t>Share capital and share premium</t>
  </si>
  <si>
    <t xml:space="preserve">Retained earnings </t>
  </si>
  <si>
    <t>NPF MICROFINANCE BANK PLC</t>
  </si>
  <si>
    <t>INTERIM REPORT FOR THE THREE MONTHS ENDED MARCH 31, 2022</t>
  </si>
  <si>
    <t xml:space="preserve">Pledged assets  </t>
  </si>
  <si>
    <t xml:space="preserve">Loans and advances to customers  </t>
  </si>
  <si>
    <t xml:space="preserve">Investment securities  </t>
  </si>
  <si>
    <t xml:space="preserve">Property and equipment  </t>
  </si>
  <si>
    <t xml:space="preserve">Deposits from customers  </t>
  </si>
  <si>
    <t xml:space="preserve">Borrowings   </t>
  </si>
  <si>
    <t xml:space="preserve">Other liabilities  </t>
  </si>
  <si>
    <t>Statutory reserve</t>
  </si>
  <si>
    <t>Regulatory risk reserve</t>
  </si>
  <si>
    <t>NEM INSURANCE PLC</t>
  </si>
  <si>
    <t xml:space="preserve">N'm </t>
  </si>
  <si>
    <t>Financial assets FVTPL</t>
  </si>
  <si>
    <t>Financial assets OCI</t>
  </si>
  <si>
    <t>Financial assets at amortised cost</t>
  </si>
  <si>
    <t>Deferred acquisition cost</t>
  </si>
  <si>
    <t>Investment in subsidiary</t>
  </si>
  <si>
    <t>Investment property</t>
  </si>
  <si>
    <t>Statutory deposit</t>
  </si>
  <si>
    <t>Insurance contract liability</t>
  </si>
  <si>
    <t>Statutory contingency reserve</t>
  </si>
  <si>
    <t>FVOCI reserve</t>
  </si>
  <si>
    <t>Asset revaluation reserve</t>
  </si>
  <si>
    <t>Other reserves - gratuity</t>
  </si>
  <si>
    <t>Deferred tax labilities</t>
  </si>
  <si>
    <t xml:space="preserve">Cash  equivalents </t>
  </si>
  <si>
    <t>Cash reserve requirement</t>
  </si>
  <si>
    <t>Retirement benefits</t>
  </si>
  <si>
    <t>Deferred tax liabilities &amp; other non-current liabilities</t>
  </si>
  <si>
    <t>Income tax liability</t>
  </si>
  <si>
    <t>NESTLE NIGERIA PLC</t>
  </si>
  <si>
    <t>Right of Use Assets</t>
  </si>
  <si>
    <t xml:space="preserve">Long-term debtors  </t>
  </si>
  <si>
    <t>Right of return assets</t>
  </si>
  <si>
    <t>Debtors and other receivables</t>
  </si>
  <si>
    <t>Bank overdraft</t>
  </si>
  <si>
    <t>Short-term borrowings</t>
  </si>
  <si>
    <t>Long-term borrowings</t>
  </si>
  <si>
    <t>Employee benefit</t>
  </si>
  <si>
    <t>HONEYWELL</t>
  </si>
  <si>
    <t>NGX GROUP</t>
  </si>
  <si>
    <t>STANBIC IBTC</t>
  </si>
  <si>
    <t>Market Snapshot - 29-Apr-22</t>
  </si>
  <si>
    <t>NEM</t>
  </si>
  <si>
    <t>NPF MICRO FINANCE</t>
  </si>
  <si>
    <t>TRANS-NATIONWIDE EXPRESS</t>
  </si>
  <si>
    <t>ETERNA</t>
  </si>
  <si>
    <t>CHAMPION BREWERIES</t>
  </si>
  <si>
    <t>INTERIM REPORT FOR THREE MONTHS ENDED MARCH  31, 2021</t>
  </si>
  <si>
    <t xml:space="preserve">Prepayments for property, plant &amp; equipment </t>
  </si>
  <si>
    <t>Finance lease receivables</t>
  </si>
  <si>
    <t>Prepayments and other assets</t>
  </si>
  <si>
    <t>Current income tax receivables</t>
  </si>
  <si>
    <t xml:space="preserve">Financial liabilities </t>
  </si>
  <si>
    <t>Long-term provisions and other charges</t>
  </si>
  <si>
    <t>Employee benefit obligations</t>
  </si>
  <si>
    <t>Current income tax payable</t>
  </si>
  <si>
    <t>Financial liabilities</t>
  </si>
  <si>
    <t>Currency translation reserve</t>
  </si>
  <si>
    <t>GT HOLDCO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</si>
</sst>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</numFmts>
  <fonts count="1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1"/>
      <name val="Bierstadt Display"/>
      <family val="2"/>
    </font>
    <font>
      <sz val="10"/>
      <name val="Bierstadt Display"/>
      <family val="2"/>
    </font>
    <font>
      <b/>
      <sz val="11"/>
      <name val="Bierstadt Display"/>
      <family val="2"/>
    </font>
    <font>
      <b/>
      <i/>
      <sz val="11"/>
      <name val="Bierstadt Display"/>
      <family val="2"/>
    </font>
    <font>
      <sz val="9"/>
      <name val="Bierstadt Display"/>
      <family val="2"/>
    </font>
    <font>
      <i/>
      <sz val="8"/>
      <name val="Bierstadt Display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indexed="40"/>
      <name val="Arial"/>
      <family val="2"/>
    </font>
    <font>
      <strike/>
      <sz val="11"/>
      <name val="Arial"/>
      <family val="2"/>
    </font>
    <font>
      <sz val="11"/>
      <color theme="1"/>
      <name val="Arial"/>
      <family val="2"/>
    </font>
    <font>
      <b/>
      <strike/>
      <sz val="11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sz val="9"/>
      <color indexed="81"/>
      <name val="Tahoma"/>
      <family val="2"/>
    </font>
    <font>
      <b/>
      <sz val="14"/>
      <color indexed="4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4731">
    <xf numFmtId="0" fontId="0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2" fillId="2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2" fillId="2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2" fillId="28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2" fillId="29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52" fillId="30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52" fillId="31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2" fillId="32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52" fillId="33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2" fillId="3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2" fillId="3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2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52" fillId="37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53" fillId="38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53" fillId="3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3" fillId="4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3" fillId="41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3" fillId="42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3" fillId="4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53" fillId="44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53" fillId="4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53" fillId="46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53" fillId="47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53" fillId="48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3" fillId="49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4" fillId="50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55" fillId="51" borderId="18" applyNumberFormat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56" fillId="52" borderId="19" applyNumberFormat="0" applyAlignment="0" applyProtection="0"/>
    <xf numFmtId="0" fontId="38" fillId="21" borderId="2" applyNumberFormat="0" applyAlignment="0" applyProtection="0"/>
    <xf numFmtId="43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9" fillId="53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0" fillId="0" borderId="20" applyNumberFormat="0" applyFill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61" fillId="0" borderId="21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62" fillId="0" borderId="22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64" fillId="54" borderId="18" applyNumberFormat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65" fillId="0" borderId="23" applyNumberFormat="0" applyFill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66" fillId="55" borderId="0" applyNumberFormat="0" applyBorder="0" applyAlignment="0" applyProtection="0"/>
    <xf numFmtId="0" fontId="46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2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52" fillId="56" borderId="24" applyNumberFormat="0" applyFont="0" applyAlignment="0" applyProtection="0"/>
    <xf numFmtId="0" fontId="32" fillId="23" borderId="7" applyNumberFormat="0" applyFon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67" fillId="51" borderId="25" applyNumberFormat="0" applyAlignment="0" applyProtection="0"/>
    <xf numFmtId="0" fontId="47" fillId="20" borderId="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69" fillId="0" borderId="26" applyNumberFormat="0" applyFill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7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/>
    <xf numFmtId="0" fontId="32" fillId="0" borderId="0"/>
    <xf numFmtId="168" fontId="32" fillId="0" borderId="0"/>
    <xf numFmtId="0" fontId="32" fillId="0" borderId="0"/>
    <xf numFmtId="0" fontId="32" fillId="0" borderId="0"/>
    <xf numFmtId="168" fontId="32" fillId="0" borderId="0"/>
    <xf numFmtId="168" fontId="26" fillId="0" borderId="0"/>
    <xf numFmtId="0" fontId="32" fillId="0" borderId="0"/>
    <xf numFmtId="0" fontId="32" fillId="0" borderId="0"/>
    <xf numFmtId="168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77" fillId="0" borderId="0"/>
    <xf numFmtId="0" fontId="32" fillId="0" borderId="0"/>
    <xf numFmtId="168" fontId="32" fillId="0" borderId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78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32" fillId="0" borderId="0"/>
    <xf numFmtId="0" fontId="15" fillId="0" borderId="0"/>
    <xf numFmtId="43" fontId="32" fillId="0" borderId="0" applyFont="0" applyFill="0" applyBorder="0" applyAlignment="0" applyProtection="0"/>
    <xf numFmtId="0" fontId="14" fillId="0" borderId="0"/>
    <xf numFmtId="0" fontId="14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1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2" fillId="0" borderId="0" applyFont="0" applyFill="0" applyBorder="0" applyAlignment="0" applyProtection="0"/>
    <xf numFmtId="0" fontId="11" fillId="0" borderId="0"/>
    <xf numFmtId="168" fontId="10" fillId="0" borderId="0"/>
    <xf numFmtId="0" fontId="10" fillId="0" borderId="0"/>
    <xf numFmtId="168" fontId="32" fillId="0" borderId="0"/>
    <xf numFmtId="0" fontId="32" fillId="0" borderId="0"/>
    <xf numFmtId="0" fontId="32" fillId="0" borderId="0"/>
    <xf numFmtId="43" fontId="9" fillId="0" borderId="0" applyFont="0" applyFill="0" applyBorder="0" applyAlignment="0" applyProtection="0"/>
    <xf numFmtId="168" fontId="32" fillId="0" borderId="0"/>
    <xf numFmtId="168" fontId="32" fillId="0" borderId="0"/>
    <xf numFmtId="168" fontId="34" fillId="2" borderId="0" applyNumberFormat="0" applyBorder="0" applyAlignment="0" applyProtection="0"/>
    <xf numFmtId="168" fontId="34" fillId="3" borderId="0" applyNumberFormat="0" applyBorder="0" applyAlignment="0" applyProtection="0"/>
    <xf numFmtId="168" fontId="34" fillId="4" borderId="0" applyNumberFormat="0" applyBorder="0" applyAlignment="0" applyProtection="0"/>
    <xf numFmtId="168" fontId="34" fillId="5" borderId="0" applyNumberFormat="0" applyBorder="0" applyAlignment="0" applyProtection="0"/>
    <xf numFmtId="168" fontId="34" fillId="6" borderId="0" applyNumberFormat="0" applyBorder="0" applyAlignment="0" applyProtection="0"/>
    <xf numFmtId="168" fontId="34" fillId="7" borderId="0" applyNumberFormat="0" applyBorder="0" applyAlignment="0" applyProtection="0"/>
    <xf numFmtId="168" fontId="34" fillId="8" borderId="0" applyNumberFormat="0" applyBorder="0" applyAlignment="0" applyProtection="0"/>
    <xf numFmtId="168" fontId="34" fillId="9" borderId="0" applyNumberFormat="0" applyBorder="0" applyAlignment="0" applyProtection="0"/>
    <xf numFmtId="168" fontId="34" fillId="10" borderId="0" applyNumberFormat="0" applyBorder="0" applyAlignment="0" applyProtection="0"/>
    <xf numFmtId="168" fontId="34" fillId="5" borderId="0" applyNumberFormat="0" applyBorder="0" applyAlignment="0" applyProtection="0"/>
    <xf numFmtId="168" fontId="34" fillId="8" borderId="0" applyNumberFormat="0" applyBorder="0" applyAlignment="0" applyProtection="0"/>
    <xf numFmtId="168" fontId="34" fillId="11" borderId="0" applyNumberFormat="0" applyBorder="0" applyAlignment="0" applyProtection="0"/>
    <xf numFmtId="168" fontId="35" fillId="12" borderId="0" applyNumberFormat="0" applyBorder="0" applyAlignment="0" applyProtection="0"/>
    <xf numFmtId="168" fontId="35" fillId="9" borderId="0" applyNumberFormat="0" applyBorder="0" applyAlignment="0" applyProtection="0"/>
    <xf numFmtId="168" fontId="35" fillId="10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5" borderId="0" applyNumberFormat="0" applyBorder="0" applyAlignment="0" applyProtection="0"/>
    <xf numFmtId="168" fontId="35" fillId="16" borderId="0" applyNumberFormat="0" applyBorder="0" applyAlignment="0" applyProtection="0"/>
    <xf numFmtId="168" fontId="35" fillId="17" borderId="0" applyNumberFormat="0" applyBorder="0" applyAlignment="0" applyProtection="0"/>
    <xf numFmtId="168" fontId="35" fillId="18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9" borderId="0" applyNumberFormat="0" applyBorder="0" applyAlignment="0" applyProtection="0"/>
    <xf numFmtId="168" fontId="36" fillId="3" borderId="0" applyNumberFormat="0" applyBorder="0" applyAlignment="0" applyProtection="0"/>
    <xf numFmtId="168" fontId="37" fillId="20" borderId="1" applyNumberFormat="0" applyAlignment="0" applyProtection="0"/>
    <xf numFmtId="168" fontId="38" fillId="21" borderId="2" applyNumberFormat="0" applyAlignment="0" applyProtection="0"/>
    <xf numFmtId="168" fontId="39" fillId="0" borderId="0" applyNumberFormat="0" applyFill="0" applyBorder="0" applyAlignment="0" applyProtection="0"/>
    <xf numFmtId="168" fontId="40" fillId="4" borderId="0" applyNumberFormat="0" applyBorder="0" applyAlignment="0" applyProtection="0"/>
    <xf numFmtId="168" fontId="41" fillId="0" borderId="3" applyNumberFormat="0" applyFill="0" applyAlignment="0" applyProtection="0"/>
    <xf numFmtId="168" fontId="42" fillId="0" borderId="4" applyNumberFormat="0" applyFill="0" applyAlignment="0" applyProtection="0"/>
    <xf numFmtId="168" fontId="43" fillId="0" borderId="5" applyNumberFormat="0" applyFill="0" applyAlignment="0" applyProtection="0"/>
    <xf numFmtId="168" fontId="43" fillId="0" borderId="0" applyNumberFormat="0" applyFill="0" applyBorder="0" applyAlignment="0" applyProtection="0"/>
    <xf numFmtId="168" fontId="44" fillId="7" borderId="1" applyNumberFormat="0" applyAlignment="0" applyProtection="0"/>
    <xf numFmtId="168" fontId="45" fillId="0" borderId="6" applyNumberFormat="0" applyFill="0" applyAlignment="0" applyProtection="0"/>
    <xf numFmtId="168" fontId="46" fillId="22" borderId="0" applyNumberFormat="0" applyBorder="0" applyAlignment="0" applyProtection="0"/>
    <xf numFmtId="168" fontId="32" fillId="23" borderId="7" applyNumberFormat="0" applyFont="0" applyAlignment="0" applyProtection="0"/>
    <xf numFmtId="168" fontId="47" fillId="20" borderId="8" applyNumberFormat="0" applyAlignment="0" applyProtection="0"/>
    <xf numFmtId="168" fontId="48" fillId="0" borderId="0" applyNumberFormat="0" applyFill="0" applyBorder="0" applyAlignment="0" applyProtection="0"/>
    <xf numFmtId="168" fontId="49" fillId="0" borderId="9" applyNumberFormat="0" applyFill="0" applyAlignment="0" applyProtection="0"/>
    <xf numFmtId="168" fontId="50" fillId="0" borderId="0" applyNumberFormat="0" applyFill="0" applyBorder="0" applyAlignment="0" applyProtection="0"/>
    <xf numFmtId="168" fontId="8" fillId="0" borderId="0"/>
    <xf numFmtId="168" fontId="34" fillId="2" borderId="0" applyNumberFormat="0" applyBorder="0" applyAlignment="0" applyProtection="0"/>
    <xf numFmtId="168" fontId="34" fillId="3" borderId="0" applyNumberFormat="0" applyBorder="0" applyAlignment="0" applyProtection="0"/>
    <xf numFmtId="168" fontId="34" fillId="4" borderId="0" applyNumberFormat="0" applyBorder="0" applyAlignment="0" applyProtection="0"/>
    <xf numFmtId="168" fontId="34" fillId="5" borderId="0" applyNumberFormat="0" applyBorder="0" applyAlignment="0" applyProtection="0"/>
    <xf numFmtId="168" fontId="34" fillId="6" borderId="0" applyNumberFormat="0" applyBorder="0" applyAlignment="0" applyProtection="0"/>
    <xf numFmtId="168" fontId="34" fillId="7" borderId="0" applyNumberFormat="0" applyBorder="0" applyAlignment="0" applyProtection="0"/>
    <xf numFmtId="168" fontId="34" fillId="8" borderId="0" applyNumberFormat="0" applyBorder="0" applyAlignment="0" applyProtection="0"/>
    <xf numFmtId="168" fontId="34" fillId="9" borderId="0" applyNumberFormat="0" applyBorder="0" applyAlignment="0" applyProtection="0"/>
    <xf numFmtId="168" fontId="34" fillId="10" borderId="0" applyNumberFormat="0" applyBorder="0" applyAlignment="0" applyProtection="0"/>
    <xf numFmtId="168" fontId="34" fillId="5" borderId="0" applyNumberFormat="0" applyBorder="0" applyAlignment="0" applyProtection="0"/>
    <xf numFmtId="168" fontId="34" fillId="8" borderId="0" applyNumberFormat="0" applyBorder="0" applyAlignment="0" applyProtection="0"/>
    <xf numFmtId="168" fontId="34" fillId="11" borderId="0" applyNumberFormat="0" applyBorder="0" applyAlignment="0" applyProtection="0"/>
    <xf numFmtId="168" fontId="35" fillId="12" borderId="0" applyNumberFormat="0" applyBorder="0" applyAlignment="0" applyProtection="0"/>
    <xf numFmtId="168" fontId="35" fillId="9" borderId="0" applyNumberFormat="0" applyBorder="0" applyAlignment="0" applyProtection="0"/>
    <xf numFmtId="168" fontId="35" fillId="10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5" borderId="0" applyNumberFormat="0" applyBorder="0" applyAlignment="0" applyProtection="0"/>
    <xf numFmtId="168" fontId="35" fillId="16" borderId="0" applyNumberFormat="0" applyBorder="0" applyAlignment="0" applyProtection="0"/>
    <xf numFmtId="168" fontId="35" fillId="17" borderId="0" applyNumberFormat="0" applyBorder="0" applyAlignment="0" applyProtection="0"/>
    <xf numFmtId="168" fontId="35" fillId="18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9" borderId="0" applyNumberFormat="0" applyBorder="0" applyAlignment="0" applyProtection="0"/>
    <xf numFmtId="168" fontId="36" fillId="3" borderId="0" applyNumberFormat="0" applyBorder="0" applyAlignment="0" applyProtection="0"/>
    <xf numFmtId="168" fontId="37" fillId="20" borderId="1" applyNumberFormat="0" applyAlignment="0" applyProtection="0"/>
    <xf numFmtId="168" fontId="38" fillId="21" borderId="2" applyNumberFormat="0" applyAlignment="0" applyProtection="0"/>
    <xf numFmtId="168" fontId="39" fillId="0" borderId="0" applyNumberFormat="0" applyFill="0" applyBorder="0" applyAlignment="0" applyProtection="0"/>
    <xf numFmtId="168" fontId="40" fillId="4" borderId="0" applyNumberFormat="0" applyBorder="0" applyAlignment="0" applyProtection="0"/>
    <xf numFmtId="168" fontId="41" fillId="0" borderId="3" applyNumberFormat="0" applyFill="0" applyAlignment="0" applyProtection="0"/>
    <xf numFmtId="168" fontId="42" fillId="0" borderId="4" applyNumberFormat="0" applyFill="0" applyAlignment="0" applyProtection="0"/>
    <xf numFmtId="168" fontId="43" fillId="0" borderId="5" applyNumberFormat="0" applyFill="0" applyAlignment="0" applyProtection="0"/>
    <xf numFmtId="168" fontId="43" fillId="0" borderId="0" applyNumberFormat="0" applyFill="0" applyBorder="0" applyAlignment="0" applyProtection="0"/>
    <xf numFmtId="168" fontId="44" fillId="7" borderId="1" applyNumberFormat="0" applyAlignment="0" applyProtection="0"/>
    <xf numFmtId="168" fontId="45" fillId="0" borderId="6" applyNumberFormat="0" applyFill="0" applyAlignment="0" applyProtection="0"/>
    <xf numFmtId="168" fontId="46" fillId="22" borderId="0" applyNumberFormat="0" applyBorder="0" applyAlignment="0" applyProtection="0"/>
    <xf numFmtId="168" fontId="32" fillId="23" borderId="7" applyNumberFormat="0" applyFont="0" applyAlignment="0" applyProtection="0"/>
    <xf numFmtId="168" fontId="47" fillId="20" borderId="8" applyNumberFormat="0" applyAlignment="0" applyProtection="0"/>
    <xf numFmtId="168" fontId="48" fillId="0" borderId="0" applyNumberFormat="0" applyFill="0" applyBorder="0" applyAlignment="0" applyProtection="0"/>
    <xf numFmtId="168" fontId="49" fillId="0" borderId="9" applyNumberFormat="0" applyFill="0" applyAlignment="0" applyProtection="0"/>
    <xf numFmtId="168" fontId="50" fillId="0" borderId="0" applyNumberFormat="0" applyFill="0" applyBorder="0" applyAlignment="0" applyProtection="0"/>
    <xf numFmtId="168" fontId="32" fillId="0" borderId="0"/>
    <xf numFmtId="168" fontId="8" fillId="0" borderId="0"/>
    <xf numFmtId="168" fontId="32" fillId="0" borderId="0"/>
    <xf numFmtId="168" fontId="34" fillId="2" borderId="0" applyNumberFormat="0" applyBorder="0" applyAlignment="0" applyProtection="0"/>
    <xf numFmtId="168" fontId="34" fillId="3" borderId="0" applyNumberFormat="0" applyBorder="0" applyAlignment="0" applyProtection="0"/>
    <xf numFmtId="168" fontId="34" fillId="4" borderId="0" applyNumberFormat="0" applyBorder="0" applyAlignment="0" applyProtection="0"/>
    <xf numFmtId="168" fontId="34" fillId="5" borderId="0" applyNumberFormat="0" applyBorder="0" applyAlignment="0" applyProtection="0"/>
    <xf numFmtId="168" fontId="34" fillId="6" borderId="0" applyNumberFormat="0" applyBorder="0" applyAlignment="0" applyProtection="0"/>
    <xf numFmtId="168" fontId="34" fillId="7" borderId="0" applyNumberFormat="0" applyBorder="0" applyAlignment="0" applyProtection="0"/>
    <xf numFmtId="168" fontId="34" fillId="8" borderId="0" applyNumberFormat="0" applyBorder="0" applyAlignment="0" applyProtection="0"/>
    <xf numFmtId="168" fontId="34" fillId="9" borderId="0" applyNumberFormat="0" applyBorder="0" applyAlignment="0" applyProtection="0"/>
    <xf numFmtId="168" fontId="34" fillId="10" borderId="0" applyNumberFormat="0" applyBorder="0" applyAlignment="0" applyProtection="0"/>
    <xf numFmtId="168" fontId="34" fillId="5" borderId="0" applyNumberFormat="0" applyBorder="0" applyAlignment="0" applyProtection="0"/>
    <xf numFmtId="168" fontId="34" fillId="8" borderId="0" applyNumberFormat="0" applyBorder="0" applyAlignment="0" applyProtection="0"/>
    <xf numFmtId="168" fontId="34" fillId="11" borderId="0" applyNumberFormat="0" applyBorder="0" applyAlignment="0" applyProtection="0"/>
    <xf numFmtId="168" fontId="35" fillId="12" borderId="0" applyNumberFormat="0" applyBorder="0" applyAlignment="0" applyProtection="0"/>
    <xf numFmtId="168" fontId="35" fillId="9" borderId="0" applyNumberFormat="0" applyBorder="0" applyAlignment="0" applyProtection="0"/>
    <xf numFmtId="168" fontId="35" fillId="10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5" borderId="0" applyNumberFormat="0" applyBorder="0" applyAlignment="0" applyProtection="0"/>
    <xf numFmtId="168" fontId="35" fillId="16" borderId="0" applyNumberFormat="0" applyBorder="0" applyAlignment="0" applyProtection="0"/>
    <xf numFmtId="168" fontId="35" fillId="17" borderId="0" applyNumberFormat="0" applyBorder="0" applyAlignment="0" applyProtection="0"/>
    <xf numFmtId="168" fontId="35" fillId="18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9" borderId="0" applyNumberFormat="0" applyBorder="0" applyAlignment="0" applyProtection="0"/>
    <xf numFmtId="168" fontId="36" fillId="3" borderId="0" applyNumberFormat="0" applyBorder="0" applyAlignment="0" applyProtection="0"/>
    <xf numFmtId="168" fontId="37" fillId="20" borderId="1" applyNumberFormat="0" applyAlignment="0" applyProtection="0"/>
    <xf numFmtId="168" fontId="38" fillId="21" borderId="2" applyNumberFormat="0" applyAlignment="0" applyProtection="0"/>
    <xf numFmtId="168" fontId="39" fillId="0" borderId="0" applyNumberFormat="0" applyFill="0" applyBorder="0" applyAlignment="0" applyProtection="0"/>
    <xf numFmtId="168" fontId="40" fillId="4" borderId="0" applyNumberFormat="0" applyBorder="0" applyAlignment="0" applyProtection="0"/>
    <xf numFmtId="168" fontId="41" fillId="0" borderId="3" applyNumberFormat="0" applyFill="0" applyAlignment="0" applyProtection="0"/>
    <xf numFmtId="168" fontId="42" fillId="0" borderId="4" applyNumberFormat="0" applyFill="0" applyAlignment="0" applyProtection="0"/>
    <xf numFmtId="168" fontId="43" fillId="0" borderId="5" applyNumberFormat="0" applyFill="0" applyAlignment="0" applyProtection="0"/>
    <xf numFmtId="168" fontId="43" fillId="0" borderId="0" applyNumberFormat="0" applyFill="0" applyBorder="0" applyAlignment="0" applyProtection="0"/>
    <xf numFmtId="168" fontId="44" fillId="7" borderId="1" applyNumberFormat="0" applyAlignment="0" applyProtection="0"/>
    <xf numFmtId="168" fontId="45" fillId="0" borderId="6" applyNumberFormat="0" applyFill="0" applyAlignment="0" applyProtection="0"/>
    <xf numFmtId="168" fontId="46" fillId="22" borderId="0" applyNumberFormat="0" applyBorder="0" applyAlignment="0" applyProtection="0"/>
    <xf numFmtId="168" fontId="32" fillId="23" borderId="7" applyNumberFormat="0" applyFont="0" applyAlignment="0" applyProtection="0"/>
    <xf numFmtId="168" fontId="47" fillId="20" borderId="8" applyNumberFormat="0" applyAlignment="0" applyProtection="0"/>
    <xf numFmtId="168" fontId="48" fillId="0" borderId="0" applyNumberFormat="0" applyFill="0" applyBorder="0" applyAlignment="0" applyProtection="0"/>
    <xf numFmtId="168" fontId="49" fillId="0" borderId="9" applyNumberFormat="0" applyFill="0" applyAlignment="0" applyProtection="0"/>
    <xf numFmtId="168" fontId="50" fillId="0" borderId="0" applyNumberFormat="0" applyFill="0" applyBorder="0" applyAlignment="0" applyProtection="0"/>
    <xf numFmtId="168" fontId="8" fillId="0" borderId="0"/>
    <xf numFmtId="168" fontId="32" fillId="0" borderId="0"/>
    <xf numFmtId="168" fontId="34" fillId="2" borderId="0" applyNumberFormat="0" applyBorder="0" applyAlignment="0" applyProtection="0"/>
    <xf numFmtId="168" fontId="34" fillId="3" borderId="0" applyNumberFormat="0" applyBorder="0" applyAlignment="0" applyProtection="0"/>
    <xf numFmtId="168" fontId="34" fillId="4" borderId="0" applyNumberFormat="0" applyBorder="0" applyAlignment="0" applyProtection="0"/>
    <xf numFmtId="168" fontId="34" fillId="5" borderId="0" applyNumberFormat="0" applyBorder="0" applyAlignment="0" applyProtection="0"/>
    <xf numFmtId="168" fontId="34" fillId="6" borderId="0" applyNumberFormat="0" applyBorder="0" applyAlignment="0" applyProtection="0"/>
    <xf numFmtId="168" fontId="34" fillId="7" borderId="0" applyNumberFormat="0" applyBorder="0" applyAlignment="0" applyProtection="0"/>
    <xf numFmtId="168" fontId="34" fillId="8" borderId="0" applyNumberFormat="0" applyBorder="0" applyAlignment="0" applyProtection="0"/>
    <xf numFmtId="168" fontId="34" fillId="9" borderId="0" applyNumberFormat="0" applyBorder="0" applyAlignment="0" applyProtection="0"/>
    <xf numFmtId="168" fontId="34" fillId="10" borderId="0" applyNumberFormat="0" applyBorder="0" applyAlignment="0" applyProtection="0"/>
    <xf numFmtId="168" fontId="34" fillId="5" borderId="0" applyNumberFormat="0" applyBorder="0" applyAlignment="0" applyProtection="0"/>
    <xf numFmtId="168" fontId="34" fillId="8" borderId="0" applyNumberFormat="0" applyBorder="0" applyAlignment="0" applyProtection="0"/>
    <xf numFmtId="168" fontId="34" fillId="11" borderId="0" applyNumberFormat="0" applyBorder="0" applyAlignment="0" applyProtection="0"/>
    <xf numFmtId="168" fontId="35" fillId="12" borderId="0" applyNumberFormat="0" applyBorder="0" applyAlignment="0" applyProtection="0"/>
    <xf numFmtId="168" fontId="35" fillId="9" borderId="0" applyNumberFormat="0" applyBorder="0" applyAlignment="0" applyProtection="0"/>
    <xf numFmtId="168" fontId="35" fillId="10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5" borderId="0" applyNumberFormat="0" applyBorder="0" applyAlignment="0" applyProtection="0"/>
    <xf numFmtId="168" fontId="35" fillId="16" borderId="0" applyNumberFormat="0" applyBorder="0" applyAlignment="0" applyProtection="0"/>
    <xf numFmtId="168" fontId="35" fillId="17" borderId="0" applyNumberFormat="0" applyBorder="0" applyAlignment="0" applyProtection="0"/>
    <xf numFmtId="168" fontId="35" fillId="18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9" borderId="0" applyNumberFormat="0" applyBorder="0" applyAlignment="0" applyProtection="0"/>
    <xf numFmtId="168" fontId="36" fillId="3" borderId="0" applyNumberFormat="0" applyBorder="0" applyAlignment="0" applyProtection="0"/>
    <xf numFmtId="168" fontId="37" fillId="20" borderId="1" applyNumberFormat="0" applyAlignment="0" applyProtection="0"/>
    <xf numFmtId="168" fontId="38" fillId="21" borderId="2" applyNumberFormat="0" applyAlignment="0" applyProtection="0"/>
    <xf numFmtId="168" fontId="39" fillId="0" borderId="0" applyNumberFormat="0" applyFill="0" applyBorder="0" applyAlignment="0" applyProtection="0"/>
    <xf numFmtId="168" fontId="40" fillId="4" borderId="0" applyNumberFormat="0" applyBorder="0" applyAlignment="0" applyProtection="0"/>
    <xf numFmtId="168" fontId="41" fillId="0" borderId="3" applyNumberFormat="0" applyFill="0" applyAlignment="0" applyProtection="0"/>
    <xf numFmtId="168" fontId="42" fillId="0" borderId="4" applyNumberFormat="0" applyFill="0" applyAlignment="0" applyProtection="0"/>
    <xf numFmtId="168" fontId="43" fillId="0" borderId="5" applyNumberFormat="0" applyFill="0" applyAlignment="0" applyProtection="0"/>
    <xf numFmtId="168" fontId="43" fillId="0" borderId="0" applyNumberFormat="0" applyFill="0" applyBorder="0" applyAlignment="0" applyProtection="0"/>
    <xf numFmtId="168" fontId="44" fillId="7" borderId="1" applyNumberFormat="0" applyAlignment="0" applyProtection="0"/>
    <xf numFmtId="168" fontId="45" fillId="0" borderId="6" applyNumberFormat="0" applyFill="0" applyAlignment="0" applyProtection="0"/>
    <xf numFmtId="168" fontId="46" fillId="22" borderId="0" applyNumberFormat="0" applyBorder="0" applyAlignment="0" applyProtection="0"/>
    <xf numFmtId="168" fontId="8" fillId="0" borderId="0"/>
    <xf numFmtId="168" fontId="8" fillId="0" borderId="0"/>
    <xf numFmtId="168" fontId="8" fillId="0" borderId="0"/>
    <xf numFmtId="168" fontId="32" fillId="23" borderId="7" applyNumberFormat="0" applyFont="0" applyAlignment="0" applyProtection="0"/>
    <xf numFmtId="168" fontId="47" fillId="20" borderId="8" applyNumberFormat="0" applyAlignment="0" applyProtection="0"/>
    <xf numFmtId="168" fontId="48" fillId="0" borderId="0" applyNumberFormat="0" applyFill="0" applyBorder="0" applyAlignment="0" applyProtection="0"/>
    <xf numFmtId="168" fontId="49" fillId="0" borderId="9" applyNumberFormat="0" applyFill="0" applyAlignment="0" applyProtection="0"/>
    <xf numFmtId="168" fontId="50" fillId="0" borderId="0" applyNumberFormat="0" applyFill="0" applyBorder="0" applyAlignment="0" applyProtection="0"/>
    <xf numFmtId="168" fontId="32" fillId="0" borderId="0"/>
    <xf numFmtId="168" fontId="32" fillId="0" borderId="0"/>
    <xf numFmtId="168" fontId="52" fillId="0" borderId="0"/>
    <xf numFmtId="168" fontId="68" fillId="0" borderId="0" applyNumberFormat="0" applyFill="0" applyBorder="0" applyAlignment="0" applyProtection="0"/>
    <xf numFmtId="168" fontId="60" fillId="0" borderId="20" applyNumberFormat="0" applyFill="0" applyAlignment="0" applyProtection="0"/>
    <xf numFmtId="168" fontId="61" fillId="0" borderId="21" applyNumberFormat="0" applyFill="0" applyAlignment="0" applyProtection="0"/>
    <xf numFmtId="168" fontId="62" fillId="0" borderId="22" applyNumberFormat="0" applyFill="0" applyAlignment="0" applyProtection="0"/>
    <xf numFmtId="168" fontId="62" fillId="0" borderId="0" applyNumberFormat="0" applyFill="0" applyBorder="0" applyAlignment="0" applyProtection="0"/>
    <xf numFmtId="168" fontId="59" fillId="53" borderId="0" applyNumberFormat="0" applyBorder="0" applyAlignment="0" applyProtection="0"/>
    <xf numFmtId="168" fontId="54" fillId="50" borderId="0" applyNumberFormat="0" applyBorder="0" applyAlignment="0" applyProtection="0"/>
    <xf numFmtId="168" fontId="66" fillId="55" borderId="0" applyNumberFormat="0" applyBorder="0" applyAlignment="0" applyProtection="0"/>
    <xf numFmtId="168" fontId="64" fillId="54" borderId="18" applyNumberFormat="0" applyAlignment="0" applyProtection="0"/>
    <xf numFmtId="168" fontId="67" fillId="51" borderId="25" applyNumberFormat="0" applyAlignment="0" applyProtection="0"/>
    <xf numFmtId="168" fontId="55" fillId="51" borderId="18" applyNumberFormat="0" applyAlignment="0" applyProtection="0"/>
    <xf numFmtId="168" fontId="65" fillId="0" borderId="23" applyNumberFormat="0" applyFill="0" applyAlignment="0" applyProtection="0"/>
    <xf numFmtId="168" fontId="56" fillId="52" borderId="19" applyNumberFormat="0" applyAlignment="0" applyProtection="0"/>
    <xf numFmtId="168" fontId="70" fillId="0" borderId="0" applyNumberFormat="0" applyFill="0" applyBorder="0" applyAlignment="0" applyProtection="0"/>
    <xf numFmtId="168" fontId="52" fillId="56" borderId="24" applyNumberFormat="0" applyFont="0" applyAlignment="0" applyProtection="0"/>
    <xf numFmtId="168" fontId="58" fillId="0" borderId="0" applyNumberFormat="0" applyFill="0" applyBorder="0" applyAlignment="0" applyProtection="0"/>
    <xf numFmtId="168" fontId="69" fillId="0" borderId="26" applyNumberFormat="0" applyFill="0" applyAlignment="0" applyProtection="0"/>
    <xf numFmtId="168" fontId="53" fillId="44" borderId="0" applyNumberFormat="0" applyBorder="0" applyAlignment="0" applyProtection="0"/>
    <xf numFmtId="168" fontId="52" fillId="26" borderId="0" applyNumberFormat="0" applyBorder="0" applyAlignment="0" applyProtection="0"/>
    <xf numFmtId="168" fontId="52" fillId="32" borderId="0" applyNumberFormat="0" applyBorder="0" applyAlignment="0" applyProtection="0"/>
    <xf numFmtId="168" fontId="53" fillId="38" borderId="0" applyNumberFormat="0" applyBorder="0" applyAlignment="0" applyProtection="0"/>
    <xf numFmtId="168" fontId="53" fillId="45" borderId="0" applyNumberFormat="0" applyBorder="0" applyAlignment="0" applyProtection="0"/>
    <xf numFmtId="168" fontId="52" fillId="27" borderId="0" applyNumberFormat="0" applyBorder="0" applyAlignment="0" applyProtection="0"/>
    <xf numFmtId="168" fontId="52" fillId="33" borderId="0" applyNumberFormat="0" applyBorder="0" applyAlignment="0" applyProtection="0"/>
    <xf numFmtId="168" fontId="53" fillId="39" borderId="0" applyNumberFormat="0" applyBorder="0" applyAlignment="0" applyProtection="0"/>
    <xf numFmtId="168" fontId="53" fillId="46" borderId="0" applyNumberFormat="0" applyBorder="0" applyAlignment="0" applyProtection="0"/>
    <xf numFmtId="168" fontId="52" fillId="28" borderId="0" applyNumberFormat="0" applyBorder="0" applyAlignment="0" applyProtection="0"/>
    <xf numFmtId="168" fontId="52" fillId="34" borderId="0" applyNumberFormat="0" applyBorder="0" applyAlignment="0" applyProtection="0"/>
    <xf numFmtId="168" fontId="53" fillId="40" borderId="0" applyNumberFormat="0" applyBorder="0" applyAlignment="0" applyProtection="0"/>
    <xf numFmtId="168" fontId="53" fillId="47" borderId="0" applyNumberFormat="0" applyBorder="0" applyAlignment="0" applyProtection="0"/>
    <xf numFmtId="168" fontId="52" fillId="29" borderId="0" applyNumberFormat="0" applyBorder="0" applyAlignment="0" applyProtection="0"/>
    <xf numFmtId="168" fontId="52" fillId="35" borderId="0" applyNumberFormat="0" applyBorder="0" applyAlignment="0" applyProtection="0"/>
    <xf numFmtId="168" fontId="53" fillId="41" borderId="0" applyNumberFormat="0" applyBorder="0" applyAlignment="0" applyProtection="0"/>
    <xf numFmtId="168" fontId="53" fillId="48" borderId="0" applyNumberFormat="0" applyBorder="0" applyAlignment="0" applyProtection="0"/>
    <xf numFmtId="168" fontId="52" fillId="30" borderId="0" applyNumberFormat="0" applyBorder="0" applyAlignment="0" applyProtection="0"/>
    <xf numFmtId="168" fontId="52" fillId="36" borderId="0" applyNumberFormat="0" applyBorder="0" applyAlignment="0" applyProtection="0"/>
    <xf numFmtId="168" fontId="53" fillId="42" borderId="0" applyNumberFormat="0" applyBorder="0" applyAlignment="0" applyProtection="0"/>
    <xf numFmtId="168" fontId="53" fillId="49" borderId="0" applyNumberFormat="0" applyBorder="0" applyAlignment="0" applyProtection="0"/>
    <xf numFmtId="168" fontId="52" fillId="31" borderId="0" applyNumberFormat="0" applyBorder="0" applyAlignment="0" applyProtection="0"/>
    <xf numFmtId="168" fontId="52" fillId="37" borderId="0" applyNumberFormat="0" applyBorder="0" applyAlignment="0" applyProtection="0"/>
    <xf numFmtId="168" fontId="53" fillId="43" borderId="0" applyNumberFormat="0" applyBorder="0" applyAlignment="0" applyProtection="0"/>
    <xf numFmtId="168" fontId="32" fillId="0" borderId="0"/>
    <xf numFmtId="168" fontId="34" fillId="2" borderId="0" applyNumberFormat="0" applyBorder="0" applyAlignment="0" applyProtection="0"/>
    <xf numFmtId="168" fontId="34" fillId="3" borderId="0" applyNumberFormat="0" applyBorder="0" applyAlignment="0" applyProtection="0"/>
    <xf numFmtId="168" fontId="34" fillId="4" borderId="0" applyNumberFormat="0" applyBorder="0" applyAlignment="0" applyProtection="0"/>
    <xf numFmtId="168" fontId="34" fillId="5" borderId="0" applyNumberFormat="0" applyBorder="0" applyAlignment="0" applyProtection="0"/>
    <xf numFmtId="168" fontId="34" fillId="6" borderId="0" applyNumberFormat="0" applyBorder="0" applyAlignment="0" applyProtection="0"/>
    <xf numFmtId="168" fontId="34" fillId="7" borderId="0" applyNumberFormat="0" applyBorder="0" applyAlignment="0" applyProtection="0"/>
    <xf numFmtId="168" fontId="34" fillId="8" borderId="0" applyNumberFormat="0" applyBorder="0" applyAlignment="0" applyProtection="0"/>
    <xf numFmtId="168" fontId="34" fillId="9" borderId="0" applyNumberFormat="0" applyBorder="0" applyAlignment="0" applyProtection="0"/>
    <xf numFmtId="168" fontId="34" fillId="10" borderId="0" applyNumberFormat="0" applyBorder="0" applyAlignment="0" applyProtection="0"/>
    <xf numFmtId="168" fontId="34" fillId="5" borderId="0" applyNumberFormat="0" applyBorder="0" applyAlignment="0" applyProtection="0"/>
    <xf numFmtId="168" fontId="34" fillId="8" borderId="0" applyNumberFormat="0" applyBorder="0" applyAlignment="0" applyProtection="0"/>
    <xf numFmtId="168" fontId="34" fillId="11" borderId="0" applyNumberFormat="0" applyBorder="0" applyAlignment="0" applyProtection="0"/>
    <xf numFmtId="168" fontId="35" fillId="12" borderId="0" applyNumberFormat="0" applyBorder="0" applyAlignment="0" applyProtection="0"/>
    <xf numFmtId="168" fontId="35" fillId="9" borderId="0" applyNumberFormat="0" applyBorder="0" applyAlignment="0" applyProtection="0"/>
    <xf numFmtId="168" fontId="35" fillId="10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5" borderId="0" applyNumberFormat="0" applyBorder="0" applyAlignment="0" applyProtection="0"/>
    <xf numFmtId="168" fontId="35" fillId="16" borderId="0" applyNumberFormat="0" applyBorder="0" applyAlignment="0" applyProtection="0"/>
    <xf numFmtId="168" fontId="35" fillId="17" borderId="0" applyNumberFormat="0" applyBorder="0" applyAlignment="0" applyProtection="0"/>
    <xf numFmtId="168" fontId="35" fillId="18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9" borderId="0" applyNumberFormat="0" applyBorder="0" applyAlignment="0" applyProtection="0"/>
    <xf numFmtId="168" fontId="36" fillId="3" borderId="0" applyNumberFormat="0" applyBorder="0" applyAlignment="0" applyProtection="0"/>
    <xf numFmtId="168" fontId="37" fillId="20" borderId="1" applyNumberFormat="0" applyAlignment="0" applyProtection="0"/>
    <xf numFmtId="168" fontId="38" fillId="21" borderId="2" applyNumberFormat="0" applyAlignment="0" applyProtection="0"/>
    <xf numFmtId="168" fontId="39" fillId="0" borderId="0" applyNumberFormat="0" applyFill="0" applyBorder="0" applyAlignment="0" applyProtection="0"/>
    <xf numFmtId="168" fontId="40" fillId="4" borderId="0" applyNumberFormat="0" applyBorder="0" applyAlignment="0" applyProtection="0"/>
    <xf numFmtId="168" fontId="41" fillId="0" borderId="3" applyNumberFormat="0" applyFill="0" applyAlignment="0" applyProtection="0"/>
    <xf numFmtId="168" fontId="42" fillId="0" borderId="4" applyNumberFormat="0" applyFill="0" applyAlignment="0" applyProtection="0"/>
    <xf numFmtId="168" fontId="43" fillId="0" borderId="5" applyNumberFormat="0" applyFill="0" applyAlignment="0" applyProtection="0"/>
    <xf numFmtId="168" fontId="43" fillId="0" borderId="0" applyNumberFormat="0" applyFill="0" applyBorder="0" applyAlignment="0" applyProtection="0"/>
    <xf numFmtId="168" fontId="44" fillId="7" borderId="1" applyNumberFormat="0" applyAlignment="0" applyProtection="0"/>
    <xf numFmtId="168" fontId="45" fillId="0" borderId="6" applyNumberFormat="0" applyFill="0" applyAlignment="0" applyProtection="0"/>
    <xf numFmtId="168" fontId="46" fillId="22" borderId="0" applyNumberFormat="0" applyBorder="0" applyAlignment="0" applyProtection="0"/>
    <xf numFmtId="168" fontId="32" fillId="23" borderId="7" applyNumberFormat="0" applyFont="0" applyAlignment="0" applyProtection="0"/>
    <xf numFmtId="168" fontId="47" fillId="20" borderId="8" applyNumberFormat="0" applyAlignment="0" applyProtection="0"/>
    <xf numFmtId="168" fontId="48" fillId="0" borderId="0" applyNumberFormat="0" applyFill="0" applyBorder="0" applyAlignment="0" applyProtection="0"/>
    <xf numFmtId="168" fontId="49" fillId="0" borderId="9" applyNumberFormat="0" applyFill="0" applyAlignment="0" applyProtection="0"/>
    <xf numFmtId="168" fontId="50" fillId="0" borderId="0" applyNumberFormat="0" applyFill="0" applyBorder="0" applyAlignment="0" applyProtection="0"/>
    <xf numFmtId="168" fontId="32" fillId="0" borderId="0"/>
    <xf numFmtId="168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32" fillId="0" borderId="0"/>
    <xf numFmtId="168" fontId="52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2" fillId="0" borderId="0"/>
    <xf numFmtId="168" fontId="32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2" fillId="0" borderId="0"/>
    <xf numFmtId="168" fontId="32" fillId="23" borderId="7" applyNumberFormat="0" applyFont="0" applyAlignment="0" applyProtection="0"/>
    <xf numFmtId="168" fontId="32" fillId="23" borderId="7" applyNumberFormat="0" applyFont="0" applyAlignment="0" applyProtection="0"/>
    <xf numFmtId="168" fontId="32" fillId="2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8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32" fillId="0" borderId="0"/>
    <xf numFmtId="168" fontId="32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63" fillId="0" borderId="0" applyNumberForma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32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8" fillId="21" borderId="2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7" fillId="2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32" fillId="23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2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26" borderId="0" applyNumberFormat="0" applyBorder="0" applyAlignment="0" applyProtection="0"/>
    <xf numFmtId="0" fontId="34" fillId="2" borderId="0" applyNumberFormat="0" applyBorder="0" applyAlignment="0" applyProtection="0"/>
    <xf numFmtId="0" fontId="52" fillId="27" borderId="0" applyNumberFormat="0" applyBorder="0" applyAlignment="0" applyProtection="0"/>
    <xf numFmtId="0" fontId="34" fillId="3" borderId="0" applyNumberFormat="0" applyBorder="0" applyAlignment="0" applyProtection="0"/>
    <xf numFmtId="0" fontId="52" fillId="28" borderId="0" applyNumberFormat="0" applyBorder="0" applyAlignment="0" applyProtection="0"/>
    <xf numFmtId="0" fontId="34" fillId="4" borderId="0" applyNumberFormat="0" applyBorder="0" applyAlignment="0" applyProtection="0"/>
    <xf numFmtId="0" fontId="52" fillId="29" borderId="0" applyNumberFormat="0" applyBorder="0" applyAlignment="0" applyProtection="0"/>
    <xf numFmtId="0" fontId="34" fillId="5" borderId="0" applyNumberFormat="0" applyBorder="0" applyAlignment="0" applyProtection="0"/>
    <xf numFmtId="0" fontId="52" fillId="30" borderId="0" applyNumberFormat="0" applyBorder="0" applyAlignment="0" applyProtection="0"/>
    <xf numFmtId="0" fontId="34" fillId="6" borderId="0" applyNumberFormat="0" applyBorder="0" applyAlignment="0" applyProtection="0"/>
    <xf numFmtId="0" fontId="52" fillId="31" borderId="0" applyNumberFormat="0" applyBorder="0" applyAlignment="0" applyProtection="0"/>
    <xf numFmtId="0" fontId="34" fillId="7" borderId="0" applyNumberFormat="0" applyBorder="0" applyAlignment="0" applyProtection="0"/>
    <xf numFmtId="0" fontId="52" fillId="32" borderId="0" applyNumberFormat="0" applyBorder="0" applyAlignment="0" applyProtection="0"/>
    <xf numFmtId="0" fontId="34" fillId="8" borderId="0" applyNumberFormat="0" applyBorder="0" applyAlignment="0" applyProtection="0"/>
    <xf numFmtId="0" fontId="52" fillId="33" borderId="0" applyNumberFormat="0" applyBorder="0" applyAlignment="0" applyProtection="0"/>
    <xf numFmtId="0" fontId="34" fillId="9" borderId="0" applyNumberFormat="0" applyBorder="0" applyAlignment="0" applyProtection="0"/>
    <xf numFmtId="0" fontId="52" fillId="34" borderId="0" applyNumberFormat="0" applyBorder="0" applyAlignment="0" applyProtection="0"/>
    <xf numFmtId="0" fontId="34" fillId="10" borderId="0" applyNumberFormat="0" applyBorder="0" applyAlignment="0" applyProtection="0"/>
    <xf numFmtId="0" fontId="52" fillId="35" borderId="0" applyNumberFormat="0" applyBorder="0" applyAlignment="0" applyProtection="0"/>
    <xf numFmtId="0" fontId="34" fillId="5" borderId="0" applyNumberFormat="0" applyBorder="0" applyAlignment="0" applyProtection="0"/>
    <xf numFmtId="0" fontId="52" fillId="36" borderId="0" applyNumberFormat="0" applyBorder="0" applyAlignment="0" applyProtection="0"/>
    <xf numFmtId="0" fontId="34" fillId="8" borderId="0" applyNumberFormat="0" applyBorder="0" applyAlignment="0" applyProtection="0"/>
    <xf numFmtId="0" fontId="52" fillId="37" borderId="0" applyNumberFormat="0" applyBorder="0" applyAlignment="0" applyProtection="0"/>
    <xf numFmtId="0" fontId="34" fillId="11" borderId="0" applyNumberFormat="0" applyBorder="0" applyAlignment="0" applyProtection="0"/>
    <xf numFmtId="0" fontId="53" fillId="38" borderId="0" applyNumberFormat="0" applyBorder="0" applyAlignment="0" applyProtection="0"/>
    <xf numFmtId="0" fontId="35" fillId="12" borderId="0" applyNumberFormat="0" applyBorder="0" applyAlignment="0" applyProtection="0"/>
    <xf numFmtId="0" fontId="53" fillId="39" borderId="0" applyNumberFormat="0" applyBorder="0" applyAlignment="0" applyProtection="0"/>
    <xf numFmtId="0" fontId="35" fillId="9" borderId="0" applyNumberFormat="0" applyBorder="0" applyAlignment="0" applyProtection="0"/>
    <xf numFmtId="0" fontId="53" fillId="40" borderId="0" applyNumberFormat="0" applyBorder="0" applyAlignment="0" applyProtection="0"/>
    <xf numFmtId="0" fontId="35" fillId="10" borderId="0" applyNumberFormat="0" applyBorder="0" applyAlignment="0" applyProtection="0"/>
    <xf numFmtId="0" fontId="53" fillId="41" borderId="0" applyNumberFormat="0" applyBorder="0" applyAlignment="0" applyProtection="0"/>
    <xf numFmtId="0" fontId="35" fillId="13" borderId="0" applyNumberFormat="0" applyBorder="0" applyAlignment="0" applyProtection="0"/>
    <xf numFmtId="0" fontId="53" fillId="42" borderId="0" applyNumberFormat="0" applyBorder="0" applyAlignment="0" applyProtection="0"/>
    <xf numFmtId="0" fontId="35" fillId="14" borderId="0" applyNumberFormat="0" applyBorder="0" applyAlignment="0" applyProtection="0"/>
    <xf numFmtId="0" fontId="53" fillId="43" borderId="0" applyNumberFormat="0" applyBorder="0" applyAlignment="0" applyProtection="0"/>
    <xf numFmtId="0" fontId="35" fillId="15" borderId="0" applyNumberFormat="0" applyBorder="0" applyAlignment="0" applyProtection="0"/>
    <xf numFmtId="0" fontId="53" fillId="44" borderId="0" applyNumberFormat="0" applyBorder="0" applyAlignment="0" applyProtection="0"/>
    <xf numFmtId="0" fontId="35" fillId="16" borderId="0" applyNumberFormat="0" applyBorder="0" applyAlignment="0" applyProtection="0"/>
    <xf numFmtId="0" fontId="53" fillId="45" borderId="0" applyNumberFormat="0" applyBorder="0" applyAlignment="0" applyProtection="0"/>
    <xf numFmtId="0" fontId="35" fillId="17" borderId="0" applyNumberFormat="0" applyBorder="0" applyAlignment="0" applyProtection="0"/>
    <xf numFmtId="0" fontId="53" fillId="46" borderId="0" applyNumberFormat="0" applyBorder="0" applyAlignment="0" applyProtection="0"/>
    <xf numFmtId="0" fontId="35" fillId="18" borderId="0" applyNumberFormat="0" applyBorder="0" applyAlignment="0" applyProtection="0"/>
    <xf numFmtId="0" fontId="53" fillId="47" borderId="0" applyNumberFormat="0" applyBorder="0" applyAlignment="0" applyProtection="0"/>
    <xf numFmtId="0" fontId="35" fillId="13" borderId="0" applyNumberFormat="0" applyBorder="0" applyAlignment="0" applyProtection="0"/>
    <xf numFmtId="0" fontId="53" fillId="48" borderId="0" applyNumberFormat="0" applyBorder="0" applyAlignment="0" applyProtection="0"/>
    <xf numFmtId="0" fontId="35" fillId="14" borderId="0" applyNumberFormat="0" applyBorder="0" applyAlignment="0" applyProtection="0"/>
    <xf numFmtId="0" fontId="53" fillId="49" borderId="0" applyNumberFormat="0" applyBorder="0" applyAlignment="0" applyProtection="0"/>
    <xf numFmtId="0" fontId="35" fillId="19" borderId="0" applyNumberFormat="0" applyBorder="0" applyAlignment="0" applyProtection="0"/>
    <xf numFmtId="0" fontId="54" fillId="50" borderId="0" applyNumberFormat="0" applyBorder="0" applyAlignment="0" applyProtection="0"/>
    <xf numFmtId="0" fontId="36" fillId="3" borderId="0" applyNumberFormat="0" applyBorder="0" applyAlignment="0" applyProtection="0"/>
    <xf numFmtId="0" fontId="55" fillId="51" borderId="18" applyNumberFormat="0" applyAlignment="0" applyProtection="0"/>
    <xf numFmtId="0" fontId="37" fillId="20" borderId="1" applyNumberFormat="0" applyAlignment="0" applyProtection="0"/>
    <xf numFmtId="0" fontId="56" fillId="52" borderId="19" applyNumberFormat="0" applyAlignment="0" applyProtection="0"/>
    <xf numFmtId="0" fontId="38" fillId="21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40" fillId="4" borderId="0" applyNumberFormat="0" applyBorder="0" applyAlignment="0" applyProtection="0"/>
    <xf numFmtId="0" fontId="60" fillId="0" borderId="20" applyNumberFormat="0" applyFill="0" applyAlignment="0" applyProtection="0"/>
    <xf numFmtId="0" fontId="41" fillId="0" borderId="3" applyNumberFormat="0" applyFill="0" applyAlignment="0" applyProtection="0"/>
    <xf numFmtId="0" fontId="61" fillId="0" borderId="21" applyNumberFormat="0" applyFill="0" applyAlignment="0" applyProtection="0"/>
    <xf numFmtId="0" fontId="42" fillId="0" borderId="4" applyNumberFormat="0" applyFill="0" applyAlignment="0" applyProtection="0"/>
    <xf numFmtId="0" fontId="62" fillId="0" borderId="22" applyNumberFormat="0" applyFill="0" applyAlignment="0" applyProtection="0"/>
    <xf numFmtId="0" fontId="43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18" applyNumberFormat="0" applyAlignment="0" applyProtection="0"/>
    <xf numFmtId="0" fontId="44" fillId="7" borderId="1" applyNumberFormat="0" applyAlignment="0" applyProtection="0"/>
    <xf numFmtId="0" fontId="65" fillId="0" borderId="23" applyNumberFormat="0" applyFill="0" applyAlignment="0" applyProtection="0"/>
    <xf numFmtId="0" fontId="45" fillId="0" borderId="6" applyNumberFormat="0" applyFill="0" applyAlignment="0" applyProtection="0"/>
    <xf numFmtId="0" fontId="66" fillId="55" borderId="0" applyNumberFormat="0" applyBorder="0" applyAlignment="0" applyProtection="0"/>
    <xf numFmtId="0" fontId="46" fillId="22" borderId="0" applyNumberFormat="0" applyBorder="0" applyAlignment="0" applyProtection="0"/>
    <xf numFmtId="0" fontId="32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56" borderId="24" applyNumberFormat="0" applyFont="0" applyAlignment="0" applyProtection="0"/>
    <xf numFmtId="0" fontId="32" fillId="23" borderId="7" applyNumberFormat="0" applyFont="0" applyAlignment="0" applyProtection="0"/>
    <xf numFmtId="0" fontId="67" fillId="51" borderId="25" applyNumberFormat="0" applyAlignment="0" applyProtection="0"/>
    <xf numFmtId="0" fontId="47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26" applyNumberFormat="0" applyFill="0" applyAlignment="0" applyProtection="0"/>
    <xf numFmtId="0" fontId="49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32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0" fontId="8" fillId="0" borderId="0"/>
    <xf numFmtId="168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8" fontId="8" fillId="0" borderId="0"/>
    <xf numFmtId="0" fontId="8" fillId="0" borderId="0"/>
    <xf numFmtId="168" fontId="8" fillId="0" borderId="0"/>
    <xf numFmtId="43" fontId="8" fillId="0" borderId="0" applyFont="0" applyFill="0" applyBorder="0" applyAlignment="0" applyProtection="0"/>
    <xf numFmtId="0" fontId="8" fillId="0" borderId="0"/>
    <xf numFmtId="168" fontId="3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34" fillId="2" borderId="0" applyNumberFormat="0" applyBorder="0" applyAlignment="0" applyProtection="0"/>
    <xf numFmtId="168" fontId="34" fillId="3" borderId="0" applyNumberFormat="0" applyBorder="0" applyAlignment="0" applyProtection="0"/>
    <xf numFmtId="168" fontId="34" fillId="4" borderId="0" applyNumberFormat="0" applyBorder="0" applyAlignment="0" applyProtection="0"/>
    <xf numFmtId="168" fontId="34" fillId="5" borderId="0" applyNumberFormat="0" applyBorder="0" applyAlignment="0" applyProtection="0"/>
    <xf numFmtId="168" fontId="34" fillId="6" borderId="0" applyNumberFormat="0" applyBorder="0" applyAlignment="0" applyProtection="0"/>
    <xf numFmtId="168" fontId="34" fillId="7" borderId="0" applyNumberFormat="0" applyBorder="0" applyAlignment="0" applyProtection="0"/>
    <xf numFmtId="168" fontId="34" fillId="8" borderId="0" applyNumberFormat="0" applyBorder="0" applyAlignment="0" applyProtection="0"/>
    <xf numFmtId="168" fontId="34" fillId="9" borderId="0" applyNumberFormat="0" applyBorder="0" applyAlignment="0" applyProtection="0"/>
    <xf numFmtId="168" fontId="34" fillId="10" borderId="0" applyNumberFormat="0" applyBorder="0" applyAlignment="0" applyProtection="0"/>
    <xf numFmtId="168" fontId="34" fillId="5" borderId="0" applyNumberFormat="0" applyBorder="0" applyAlignment="0" applyProtection="0"/>
    <xf numFmtId="168" fontId="34" fillId="8" borderId="0" applyNumberFormat="0" applyBorder="0" applyAlignment="0" applyProtection="0"/>
    <xf numFmtId="168" fontId="34" fillId="11" borderId="0" applyNumberFormat="0" applyBorder="0" applyAlignment="0" applyProtection="0"/>
    <xf numFmtId="168" fontId="35" fillId="12" borderId="0" applyNumberFormat="0" applyBorder="0" applyAlignment="0" applyProtection="0"/>
    <xf numFmtId="168" fontId="35" fillId="9" borderId="0" applyNumberFormat="0" applyBorder="0" applyAlignment="0" applyProtection="0"/>
    <xf numFmtId="168" fontId="35" fillId="10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5" borderId="0" applyNumberFormat="0" applyBorder="0" applyAlignment="0" applyProtection="0"/>
    <xf numFmtId="168" fontId="35" fillId="16" borderId="0" applyNumberFormat="0" applyBorder="0" applyAlignment="0" applyProtection="0"/>
    <xf numFmtId="168" fontId="35" fillId="17" borderId="0" applyNumberFormat="0" applyBorder="0" applyAlignment="0" applyProtection="0"/>
    <xf numFmtId="168" fontId="35" fillId="18" borderId="0" applyNumberFormat="0" applyBorder="0" applyAlignment="0" applyProtection="0"/>
    <xf numFmtId="168" fontId="35" fillId="13" borderId="0" applyNumberFormat="0" applyBorder="0" applyAlignment="0" applyProtection="0"/>
    <xf numFmtId="168" fontId="35" fillId="14" borderId="0" applyNumberFormat="0" applyBorder="0" applyAlignment="0" applyProtection="0"/>
    <xf numFmtId="168" fontId="35" fillId="19" borderId="0" applyNumberFormat="0" applyBorder="0" applyAlignment="0" applyProtection="0"/>
    <xf numFmtId="168" fontId="36" fillId="3" borderId="0" applyNumberFormat="0" applyBorder="0" applyAlignment="0" applyProtection="0"/>
    <xf numFmtId="168" fontId="37" fillId="20" borderId="1" applyNumberFormat="0" applyAlignment="0" applyProtection="0"/>
    <xf numFmtId="168" fontId="38" fillId="21" borderId="2" applyNumberFormat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168" fontId="40" fillId="4" borderId="0" applyNumberFormat="0" applyBorder="0" applyAlignment="0" applyProtection="0"/>
    <xf numFmtId="168" fontId="41" fillId="0" borderId="3" applyNumberFormat="0" applyFill="0" applyAlignment="0" applyProtection="0"/>
    <xf numFmtId="168" fontId="42" fillId="0" borderId="4" applyNumberFormat="0" applyFill="0" applyAlignment="0" applyProtection="0"/>
    <xf numFmtId="168" fontId="43" fillId="0" borderId="5" applyNumberFormat="0" applyFill="0" applyAlignment="0" applyProtection="0"/>
    <xf numFmtId="168" fontId="43" fillId="0" borderId="0" applyNumberFormat="0" applyFill="0" applyBorder="0" applyAlignment="0" applyProtection="0"/>
    <xf numFmtId="168" fontId="44" fillId="7" borderId="1" applyNumberFormat="0" applyAlignment="0" applyProtection="0"/>
    <xf numFmtId="168" fontId="45" fillId="0" borderId="6" applyNumberFormat="0" applyFill="0" applyAlignment="0" applyProtection="0"/>
    <xf numFmtId="168" fontId="46" fillId="22" borderId="0" applyNumberFormat="0" applyBorder="0" applyAlignment="0" applyProtection="0"/>
    <xf numFmtId="168" fontId="32" fillId="23" borderId="7" applyNumberFormat="0" applyFont="0" applyAlignment="0" applyProtection="0"/>
    <xf numFmtId="168" fontId="47" fillId="20" borderId="8" applyNumberFormat="0" applyAlignment="0" applyProtection="0"/>
    <xf numFmtId="9" fontId="32" fillId="0" borderId="0" applyFont="0" applyFill="0" applyBorder="0" applyAlignment="0" applyProtection="0"/>
    <xf numFmtId="168" fontId="48" fillId="0" borderId="0" applyNumberFormat="0" applyFill="0" applyBorder="0" applyAlignment="0" applyProtection="0"/>
    <xf numFmtId="168" fontId="49" fillId="0" borderId="9" applyNumberFormat="0" applyFill="0" applyAlignment="0" applyProtection="0"/>
    <xf numFmtId="168" fontId="50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43" fontId="32" fillId="0" borderId="0" applyFont="0" applyFill="0" applyBorder="0" applyAlignment="0" applyProtection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32" fillId="0" borderId="0"/>
    <xf numFmtId="0" fontId="8" fillId="0" borderId="0"/>
    <xf numFmtId="0" fontId="8" fillId="0" borderId="0"/>
    <xf numFmtId="44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0" fontId="8" fillId="0" borderId="0"/>
    <xf numFmtId="168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8" fontId="8" fillId="0" borderId="0"/>
    <xf numFmtId="0" fontId="8" fillId="0" borderId="0"/>
    <xf numFmtId="168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168" fontId="32" fillId="0" borderId="0"/>
    <xf numFmtId="168" fontId="79" fillId="0" borderId="0" applyNumberFormat="0" applyFill="0" applyBorder="0" applyAlignment="0" applyProtection="0">
      <alignment vertical="top"/>
      <protection locked="0"/>
    </xf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32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2" fillId="0" borderId="0" applyFont="0" applyFill="0" applyBorder="0" applyAlignment="0" applyProtection="0"/>
    <xf numFmtId="0" fontId="8" fillId="0" borderId="0"/>
    <xf numFmtId="43" fontId="32" fillId="0" borderId="0" applyFont="0" applyFill="0" applyBorder="0" applyAlignment="0" applyProtection="0"/>
    <xf numFmtId="0" fontId="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32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5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4" fontId="81" fillId="24" borderId="27" applyBorder="0">
      <alignment horizontal="left" vertical="center" indent="2"/>
    </xf>
    <xf numFmtId="0" fontId="32" fillId="0" borderId="0"/>
    <xf numFmtId="0" fontId="3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2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103" fillId="45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103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103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103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42" borderId="0" applyNumberFormat="0" applyBorder="0" applyAlignment="0" applyProtection="0"/>
    <xf numFmtId="0" fontId="103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56" borderId="24" applyNumberFormat="0" applyFont="0" applyAlignment="0" applyProtection="0"/>
    <xf numFmtId="0" fontId="1" fillId="0" borderId="0"/>
  </cellStyleXfs>
  <cellXfs count="794">
    <xf numFmtId="0" fontId="0" fillId="0" borderId="0" xfId="0"/>
    <xf numFmtId="0" fontId="82" fillId="0" borderId="0" xfId="0" applyFont="1"/>
    <xf numFmtId="0" fontId="82" fillId="24" borderId="0" xfId="0" applyFont="1" applyFill="1"/>
    <xf numFmtId="0" fontId="83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83" fillId="24" borderId="0" xfId="0" applyFont="1" applyFill="1"/>
    <xf numFmtId="0" fontId="86" fillId="24" borderId="0" xfId="0" applyFont="1" applyFill="1"/>
    <xf numFmtId="43" fontId="86" fillId="24" borderId="0" xfId="30763" applyFont="1" applyFill="1"/>
    <xf numFmtId="0" fontId="82" fillId="24" borderId="0" xfId="0" applyFont="1" applyFill="1" applyAlignment="1">
      <alignment horizontal="center"/>
    </xf>
    <xf numFmtId="0" fontId="87" fillId="24" borderId="0" xfId="0" applyFont="1" applyFill="1"/>
    <xf numFmtId="43" fontId="83" fillId="24" borderId="0" xfId="30763" applyFont="1" applyFill="1"/>
    <xf numFmtId="10" fontId="86" fillId="24" borderId="0" xfId="290" applyNumberFormat="1" applyFont="1" applyFill="1"/>
    <xf numFmtId="43" fontId="82" fillId="24" borderId="0" xfId="30763" applyFont="1" applyFill="1"/>
    <xf numFmtId="4" fontId="82" fillId="24" borderId="0" xfId="0" applyNumberFormat="1" applyFont="1" applyFill="1"/>
    <xf numFmtId="43" fontId="82" fillId="24" borderId="0" xfId="0" applyNumberFormat="1" applyFont="1" applyFill="1"/>
    <xf numFmtId="4" fontId="83" fillId="0" borderId="0" xfId="0" applyNumberFormat="1" applyFont="1"/>
    <xf numFmtId="9" fontId="82" fillId="24" borderId="0" xfId="290" applyFont="1" applyFill="1"/>
    <xf numFmtId="39" fontId="83" fillId="24" borderId="0" xfId="0" applyNumberFormat="1" applyFont="1" applyFill="1" applyAlignment="1">
      <alignment horizontal="left"/>
    </xf>
    <xf numFmtId="43" fontId="83" fillId="24" borderId="0" xfId="163" applyFont="1" applyFill="1"/>
    <xf numFmtId="165" fontId="83" fillId="24" borderId="0" xfId="163" applyNumberFormat="1" applyFont="1" applyFill="1"/>
    <xf numFmtId="17" fontId="82" fillId="0" borderId="0" xfId="0" applyNumberFormat="1" applyFont="1"/>
    <xf numFmtId="0" fontId="33" fillId="25" borderId="10" xfId="0" applyFont="1" applyFill="1" applyBorder="1"/>
    <xf numFmtId="0" fontId="33" fillId="24" borderId="13" xfId="0" applyFont="1" applyFill="1" applyBorder="1"/>
    <xf numFmtId="0" fontId="33" fillId="24" borderId="0" xfId="0" applyFont="1" applyFill="1"/>
    <xf numFmtId="0" fontId="104" fillId="24" borderId="0" xfId="0" applyFont="1" applyFill="1" applyAlignment="1">
      <alignment horizontal="right"/>
    </xf>
    <xf numFmtId="0" fontId="104" fillId="24" borderId="0" xfId="0" applyFont="1" applyFill="1" applyAlignment="1">
      <alignment horizontal="center"/>
    </xf>
    <xf numFmtId="0" fontId="104" fillId="24" borderId="14" xfId="0" applyFont="1" applyFill="1" applyBorder="1" applyAlignment="1">
      <alignment horizontal="center"/>
    </xf>
    <xf numFmtId="0" fontId="33" fillId="25" borderId="13" xfId="0" applyFont="1" applyFill="1" applyBorder="1"/>
    <xf numFmtId="0" fontId="104" fillId="25" borderId="0" xfId="0" applyFont="1" applyFill="1"/>
    <xf numFmtId="43" fontId="33" fillId="25" borderId="0" xfId="30762" applyFont="1" applyFill="1" applyBorder="1" applyAlignment="1">
      <alignment horizontal="center"/>
    </xf>
    <xf numFmtId="10" fontId="33" fillId="25" borderId="0" xfId="290" applyNumberFormat="1" applyFont="1" applyFill="1" applyBorder="1" applyAlignment="1">
      <alignment horizontal="center"/>
    </xf>
    <xf numFmtId="10" fontId="33" fillId="25" borderId="14" xfId="290" applyNumberFormat="1" applyFont="1" applyFill="1" applyBorder="1" applyAlignment="1">
      <alignment horizontal="center"/>
    </xf>
    <xf numFmtId="43" fontId="33" fillId="25" borderId="0" xfId="30762" applyFont="1" applyFill="1" applyBorder="1" applyAlignment="1">
      <alignment horizontal="center" wrapText="1"/>
    </xf>
    <xf numFmtId="0" fontId="105" fillId="24" borderId="0" xfId="0" applyFont="1" applyFill="1"/>
    <xf numFmtId="0" fontId="106" fillId="24" borderId="0" xfId="0" applyFont="1" applyFill="1"/>
    <xf numFmtId="0" fontId="106" fillId="24" borderId="14" xfId="0" applyFont="1" applyFill="1" applyBorder="1"/>
    <xf numFmtId="0" fontId="105" fillId="25" borderId="0" xfId="0" applyFont="1" applyFill="1"/>
    <xf numFmtId="0" fontId="104" fillId="24" borderId="0" xfId="0" applyFont="1" applyFill="1"/>
    <xf numFmtId="0" fontId="104" fillId="24" borderId="0" xfId="0" applyFont="1" applyFill="1" applyAlignment="1">
      <alignment horizontal="center" wrapText="1"/>
    </xf>
    <xf numFmtId="10" fontId="107" fillId="24" borderId="0" xfId="287" applyNumberFormat="1" applyFont="1" applyFill="1" applyBorder="1" applyAlignment="1">
      <alignment horizontal="center"/>
    </xf>
    <xf numFmtId="2" fontId="33" fillId="0" borderId="0" xfId="0" applyNumberFormat="1" applyFont="1" applyAlignment="1">
      <alignment horizontal="center"/>
    </xf>
    <xf numFmtId="43" fontId="33" fillId="24" borderId="0" xfId="163" applyFont="1" applyFill="1" applyBorder="1"/>
    <xf numFmtId="10" fontId="108" fillId="24" borderId="0" xfId="287" applyNumberFormat="1" applyFont="1" applyFill="1" applyBorder="1" applyAlignment="1">
      <alignment horizontal="center"/>
    </xf>
    <xf numFmtId="0" fontId="33" fillId="25" borderId="17" xfId="0" applyFont="1" applyFill="1" applyBorder="1"/>
    <xf numFmtId="0" fontId="33" fillId="25" borderId="15" xfId="0" applyFont="1" applyFill="1" applyBorder="1"/>
    <xf numFmtId="0" fontId="33" fillId="25" borderId="16" xfId="0" applyFont="1" applyFill="1" applyBorder="1"/>
    <xf numFmtId="0" fontId="104" fillId="25" borderId="13" xfId="224" applyFont="1" applyFill="1" applyBorder="1" applyAlignment="1">
      <alignment horizontal="center"/>
    </xf>
    <xf numFmtId="0" fontId="104" fillId="25" borderId="0" xfId="224" applyFont="1" applyFill="1" applyAlignment="1">
      <alignment horizontal="center"/>
    </xf>
    <xf numFmtId="43" fontId="104" fillId="25" borderId="0" xfId="163" applyFont="1" applyFill="1" applyAlignment="1">
      <alignment horizontal="center"/>
    </xf>
    <xf numFmtId="43" fontId="104" fillId="25" borderId="14" xfId="163" applyFont="1" applyFill="1" applyBorder="1" applyAlignment="1">
      <alignment horizontal="center"/>
    </xf>
    <xf numFmtId="0" fontId="104" fillId="25" borderId="0" xfId="224" applyFont="1" applyFill="1" applyAlignment="1">
      <alignment horizontal="left"/>
    </xf>
    <xf numFmtId="0" fontId="33" fillId="24" borderId="13" xfId="224" applyFont="1" applyFill="1" applyBorder="1"/>
    <xf numFmtId="0" fontId="33" fillId="24" borderId="0" xfId="224" applyFont="1" applyFill="1"/>
    <xf numFmtId="0" fontId="110" fillId="24" borderId="0" xfId="224" applyFont="1" applyFill="1" applyAlignment="1">
      <alignment horizontal="center"/>
    </xf>
    <xf numFmtId="43" fontId="110" fillId="24" borderId="0" xfId="163" applyFont="1" applyFill="1" applyAlignment="1">
      <alignment horizontal="center"/>
    </xf>
    <xf numFmtId="43" fontId="110" fillId="24" borderId="14" xfId="163" applyFont="1" applyFill="1" applyBorder="1" applyAlignment="1">
      <alignment horizontal="center"/>
    </xf>
    <xf numFmtId="0" fontId="33" fillId="24" borderId="13" xfId="224" applyFont="1" applyFill="1" applyBorder="1" applyAlignment="1">
      <alignment horizontal="center"/>
    </xf>
    <xf numFmtId="39" fontId="33" fillId="24" borderId="0" xfId="224" applyNumberFormat="1" applyFont="1" applyFill="1" applyAlignment="1">
      <alignment horizontal="left"/>
    </xf>
    <xf numFmtId="2" fontId="33" fillId="24" borderId="0" xfId="177" applyNumberFormat="1" applyFont="1" applyFill="1" applyAlignment="1">
      <alignment horizontal="center"/>
    </xf>
    <xf numFmtId="4" fontId="33" fillId="24" borderId="0" xfId="177" applyNumberFormat="1" applyFont="1" applyFill="1" applyAlignment="1">
      <alignment horizontal="center"/>
    </xf>
    <xf numFmtId="0" fontId="33" fillId="24" borderId="17" xfId="224" applyFont="1" applyFill="1" applyBorder="1"/>
    <xf numFmtId="0" fontId="33" fillId="24" borderId="15" xfId="224" applyFont="1" applyFill="1" applyBorder="1"/>
    <xf numFmtId="43" fontId="33" fillId="24" borderId="15" xfId="163" applyFont="1" applyFill="1" applyBorder="1"/>
    <xf numFmtId="43" fontId="104" fillId="24" borderId="15" xfId="163" applyFont="1" applyFill="1" applyBorder="1" applyAlignment="1">
      <alignment horizontal="right"/>
    </xf>
    <xf numFmtId="43" fontId="111" fillId="0" borderId="0" xfId="173" applyFont="1"/>
    <xf numFmtId="10" fontId="111" fillId="0" borderId="0" xfId="287" applyNumberFormat="1" applyFont="1"/>
    <xf numFmtId="10" fontId="111" fillId="0" borderId="0" xfId="300" applyNumberFormat="1" applyFont="1"/>
    <xf numFmtId="0" fontId="111" fillId="0" borderId="0" xfId="239" applyFont="1"/>
    <xf numFmtId="0" fontId="111" fillId="0" borderId="0" xfId="239" applyFont="1" applyAlignment="1">
      <alignment horizontal="right"/>
    </xf>
    <xf numFmtId="166" fontId="111" fillId="0" borderId="0" xfId="239" applyNumberFormat="1" applyFont="1" applyAlignment="1">
      <alignment horizontal="right"/>
    </xf>
    <xf numFmtId="166" fontId="111" fillId="0" borderId="0" xfId="239" applyNumberFormat="1" applyFont="1" applyBorder="1" applyAlignment="1">
      <alignment horizontal="right"/>
    </xf>
    <xf numFmtId="0" fontId="104" fillId="0" borderId="10" xfId="239" applyFont="1" applyBorder="1"/>
    <xf numFmtId="0" fontId="104" fillId="0" borderId="11" xfId="239" applyFont="1" applyBorder="1"/>
    <xf numFmtId="0" fontId="104" fillId="0" borderId="13" xfId="239" applyFont="1" applyBorder="1"/>
    <xf numFmtId="0" fontId="33" fillId="0" borderId="0" xfId="239" applyFont="1" applyBorder="1"/>
    <xf numFmtId="4" fontId="33" fillId="0" borderId="0" xfId="239" applyNumberFormat="1" applyFont="1" applyAlignment="1">
      <alignment horizontal="left"/>
    </xf>
    <xf numFmtId="14" fontId="104" fillId="0" borderId="11" xfId="173" applyNumberFormat="1" applyFont="1" applyBorder="1" applyAlignment="1">
      <alignment horizontal="left" textRotation="60"/>
    </xf>
    <xf numFmtId="10" fontId="104" fillId="0" borderId="11" xfId="287" applyNumberFormat="1" applyFont="1" applyBorder="1" applyAlignment="1">
      <alignment horizontal="left" textRotation="60"/>
    </xf>
    <xf numFmtId="43" fontId="104" fillId="0" borderId="11" xfId="173" applyFont="1" applyBorder="1" applyAlignment="1">
      <alignment horizontal="left" textRotation="60"/>
    </xf>
    <xf numFmtId="10" fontId="104" fillId="57" borderId="11" xfId="287" applyNumberFormat="1" applyFont="1" applyFill="1" applyBorder="1" applyAlignment="1">
      <alignment horizontal="left" textRotation="60"/>
    </xf>
    <xf numFmtId="15" fontId="104" fillId="0" borderId="11" xfId="239" applyNumberFormat="1" applyFont="1" applyBorder="1" applyAlignment="1">
      <alignment horizontal="left" textRotation="60"/>
    </xf>
    <xf numFmtId="15" fontId="104" fillId="0" borderId="11" xfId="239" applyNumberFormat="1" applyFont="1" applyBorder="1" applyAlignment="1">
      <alignment horizontal="center" textRotation="60"/>
    </xf>
    <xf numFmtId="166" fontId="104" fillId="0" borderId="11" xfId="239" applyNumberFormat="1" applyFont="1" applyBorder="1" applyAlignment="1">
      <alignment horizontal="center" textRotation="60"/>
    </xf>
    <xf numFmtId="166" fontId="104" fillId="0" borderId="12" xfId="239" applyNumberFormat="1" applyFont="1" applyBorder="1" applyAlignment="1">
      <alignment horizontal="center" textRotation="60"/>
    </xf>
    <xf numFmtId="166" fontId="104" fillId="0" borderId="14" xfId="239" applyNumberFormat="1" applyFont="1" applyBorder="1" applyAlignment="1">
      <alignment horizontal="right"/>
    </xf>
    <xf numFmtId="0" fontId="113" fillId="58" borderId="13" xfId="239" applyFont="1" applyFill="1" applyBorder="1"/>
    <xf numFmtId="166" fontId="111" fillId="58" borderId="14" xfId="239" applyNumberFormat="1" applyFont="1" applyFill="1" applyBorder="1" applyAlignment="1">
      <alignment horizontal="right"/>
    </xf>
    <xf numFmtId="0" fontId="114" fillId="0" borderId="13" xfId="239" applyFont="1" applyBorder="1" applyAlignment="1">
      <alignment horizontal="right"/>
    </xf>
    <xf numFmtId="40" fontId="111" fillId="0" borderId="0" xfId="173" applyNumberFormat="1" applyFont="1" applyAlignment="1">
      <alignment horizontal="center"/>
    </xf>
    <xf numFmtId="165" fontId="111" fillId="0" borderId="0" xfId="2142" applyNumberFormat="1" applyFont="1"/>
    <xf numFmtId="43" fontId="111" fillId="0" borderId="0" xfId="2142" applyFont="1" applyAlignment="1">
      <alignment horizontal="right"/>
    </xf>
    <xf numFmtId="166" fontId="111" fillId="0" borderId="14" xfId="239" applyNumberFormat="1" applyFont="1" applyBorder="1" applyAlignment="1">
      <alignment horizontal="right"/>
    </xf>
    <xf numFmtId="40" fontId="111" fillId="59" borderId="0" xfId="173" applyNumberFormat="1" applyFont="1" applyFill="1" applyAlignment="1">
      <alignment horizontal="center"/>
    </xf>
    <xf numFmtId="10" fontId="111" fillId="59" borderId="0" xfId="287" applyNumberFormat="1" applyFont="1" applyFill="1"/>
    <xf numFmtId="43" fontId="111" fillId="59" borderId="0" xfId="173" applyFont="1" applyFill="1"/>
    <xf numFmtId="0" fontId="111" fillId="59" borderId="0" xfId="239" applyFont="1" applyFill="1"/>
    <xf numFmtId="43" fontId="111" fillId="59" borderId="0" xfId="2142" applyFont="1" applyFill="1" applyAlignment="1">
      <alignment horizontal="right"/>
    </xf>
    <xf numFmtId="166" fontId="111" fillId="59" borderId="0" xfId="239" applyNumberFormat="1" applyFont="1" applyFill="1" applyAlignment="1">
      <alignment horizontal="right"/>
    </xf>
    <xf numFmtId="166" fontId="111" fillId="59" borderId="14" xfId="239" applyNumberFormat="1" applyFont="1" applyFill="1" applyBorder="1" applyAlignment="1">
      <alignment horizontal="right"/>
    </xf>
    <xf numFmtId="0" fontId="113" fillId="0" borderId="0" xfId="239" applyFont="1"/>
    <xf numFmtId="167" fontId="114" fillId="0" borderId="13" xfId="239" applyNumberFormat="1" applyFont="1" applyBorder="1" applyAlignment="1">
      <alignment horizontal="right"/>
    </xf>
    <xf numFmtId="166" fontId="111" fillId="57" borderId="14" xfId="239" applyNumberFormat="1" applyFont="1" applyFill="1" applyBorder="1" applyAlignment="1">
      <alignment horizontal="right"/>
    </xf>
    <xf numFmtId="166" fontId="111" fillId="57" borderId="0" xfId="239" applyNumberFormat="1" applyFont="1" applyFill="1" applyBorder="1" applyAlignment="1">
      <alignment horizontal="right"/>
    </xf>
    <xf numFmtId="4" fontId="33" fillId="57" borderId="0" xfId="239" applyNumberFormat="1" applyFont="1" applyFill="1" applyBorder="1" applyAlignment="1">
      <alignment horizontal="left"/>
    </xf>
    <xf numFmtId="40" fontId="111" fillId="57" borderId="0" xfId="173" applyNumberFormat="1" applyFont="1" applyFill="1" applyBorder="1" applyAlignment="1">
      <alignment horizontal="center"/>
    </xf>
    <xf numFmtId="10" fontId="111" fillId="57" borderId="0" xfId="287" applyNumberFormat="1" applyFont="1" applyFill="1" applyBorder="1"/>
    <xf numFmtId="165" fontId="111" fillId="57" borderId="0" xfId="2142" applyNumberFormat="1" applyFont="1" applyFill="1" applyBorder="1"/>
    <xf numFmtId="43" fontId="111" fillId="57" borderId="0" xfId="173" applyFont="1" applyFill="1" applyBorder="1"/>
    <xf numFmtId="0" fontId="111" fillId="57" borderId="0" xfId="239" applyFont="1" applyFill="1" applyBorder="1"/>
    <xf numFmtId="43" fontId="111" fillId="57" borderId="0" xfId="2142" applyFont="1" applyFill="1" applyBorder="1" applyAlignment="1">
      <alignment horizontal="right"/>
    </xf>
    <xf numFmtId="0" fontId="111" fillId="0" borderId="0" xfId="13955" applyNumberFormat="1" applyFont="1"/>
    <xf numFmtId="0" fontId="114" fillId="0" borderId="13" xfId="13955" applyNumberFormat="1" applyFont="1" applyBorder="1" applyAlignment="1">
      <alignment horizontal="right"/>
    </xf>
    <xf numFmtId="0" fontId="114" fillId="0" borderId="17" xfId="13955" applyNumberFormat="1" applyFont="1" applyBorder="1" applyAlignment="1">
      <alignment horizontal="right"/>
    </xf>
    <xf numFmtId="0" fontId="33" fillId="0" borderId="0" xfId="239" applyFont="1"/>
    <xf numFmtId="37" fontId="33" fillId="24" borderId="0" xfId="177" applyNumberFormat="1" applyFont="1" applyFill="1" applyBorder="1" applyAlignment="1">
      <alignment horizontal="center"/>
    </xf>
    <xf numFmtId="37" fontId="104" fillId="24" borderId="15" xfId="177" applyNumberFormat="1" applyFont="1" applyFill="1" applyBorder="1" applyAlignment="1">
      <alignment horizontal="center"/>
    </xf>
    <xf numFmtId="39" fontId="33" fillId="24" borderId="14" xfId="177" applyNumberFormat="1" applyFont="1" applyFill="1" applyBorder="1" applyAlignment="1">
      <alignment horizontal="center"/>
    </xf>
    <xf numFmtId="39" fontId="104" fillId="24" borderId="16" xfId="177" applyNumberFormat="1" applyFont="1" applyFill="1" applyBorder="1" applyAlignment="1">
      <alignment horizontal="center"/>
    </xf>
    <xf numFmtId="0" fontId="111" fillId="0" borderId="12" xfId="239" applyFont="1" applyBorder="1"/>
    <xf numFmtId="0" fontId="104" fillId="0" borderId="0" xfId="239" applyFont="1" applyBorder="1"/>
    <xf numFmtId="43" fontId="112" fillId="0" borderId="0" xfId="173" applyFont="1" applyBorder="1" applyAlignment="1">
      <alignment horizontal="center"/>
    </xf>
    <xf numFmtId="10" fontId="104" fillId="0" borderId="0" xfId="287" applyNumberFormat="1" applyFont="1" applyBorder="1" applyAlignment="1">
      <alignment horizontal="center"/>
    </xf>
    <xf numFmtId="0" fontId="110" fillId="0" borderId="0" xfId="239" applyFont="1" applyBorder="1" applyAlignment="1">
      <alignment horizontal="center"/>
    </xf>
    <xf numFmtId="0" fontId="112" fillId="0" borderId="0" xfId="239" applyFont="1" applyBorder="1" applyAlignment="1">
      <alignment horizontal="right"/>
    </xf>
    <xf numFmtId="166" fontId="104" fillId="0" borderId="0" xfId="239" applyNumberFormat="1" applyFont="1" applyBorder="1" applyAlignment="1">
      <alignment horizontal="right"/>
    </xf>
    <xf numFmtId="4" fontId="113" fillId="58" borderId="0" xfId="239" applyNumberFormat="1" applyFont="1" applyFill="1" applyBorder="1" applyAlignment="1">
      <alignment horizontal="left"/>
    </xf>
    <xf numFmtId="4" fontId="113" fillId="58" borderId="0" xfId="239" applyNumberFormat="1" applyFont="1" applyFill="1" applyBorder="1" applyAlignment="1">
      <alignment horizontal="center"/>
    </xf>
    <xf numFmtId="165" fontId="113" fillId="58" borderId="0" xfId="2142" applyNumberFormat="1" applyFont="1" applyFill="1" applyBorder="1" applyAlignment="1">
      <alignment horizontal="left"/>
    </xf>
    <xf numFmtId="43" fontId="111" fillId="58" borderId="0" xfId="173" applyFont="1" applyFill="1" applyBorder="1"/>
    <xf numFmtId="10" fontId="111" fillId="58" borderId="0" xfId="287" applyNumberFormat="1" applyFont="1" applyFill="1" applyBorder="1"/>
    <xf numFmtId="0" fontId="111" fillId="58" borderId="0" xfId="239" applyFont="1" applyFill="1" applyBorder="1"/>
    <xf numFmtId="43" fontId="111" fillId="58" borderId="0" xfId="2142" applyFont="1" applyFill="1" applyBorder="1" applyAlignment="1">
      <alignment horizontal="right"/>
    </xf>
    <xf numFmtId="166" fontId="111" fillId="58" borderId="0" xfId="239" applyNumberFormat="1" applyFont="1" applyFill="1" applyBorder="1" applyAlignment="1">
      <alignment horizontal="right"/>
    </xf>
    <xf numFmtId="4" fontId="33" fillId="0" borderId="0" xfId="239" applyNumberFormat="1" applyFont="1" applyBorder="1" applyAlignment="1">
      <alignment horizontal="left"/>
    </xf>
    <xf numFmtId="40" fontId="111" fillId="0" borderId="0" xfId="173" applyNumberFormat="1" applyFont="1" applyBorder="1" applyAlignment="1">
      <alignment horizontal="center"/>
    </xf>
    <xf numFmtId="10" fontId="111" fillId="0" borderId="0" xfId="287" applyNumberFormat="1" applyFont="1" applyBorder="1"/>
    <xf numFmtId="165" fontId="111" fillId="0" borderId="0" xfId="2142" applyNumberFormat="1" applyFont="1" applyBorder="1"/>
    <xf numFmtId="43" fontId="111" fillId="0" borderId="0" xfId="173" applyFont="1" applyBorder="1"/>
    <xf numFmtId="0" fontId="111" fillId="0" borderId="0" xfId="239" applyFont="1" applyBorder="1"/>
    <xf numFmtId="43" fontId="111" fillId="0" borderId="0" xfId="2142" applyFont="1" applyBorder="1" applyAlignment="1">
      <alignment horizontal="right"/>
    </xf>
    <xf numFmtId="4" fontId="33" fillId="59" borderId="0" xfId="239" applyNumberFormat="1" applyFont="1" applyFill="1" applyBorder="1" applyAlignment="1">
      <alignment horizontal="left"/>
    </xf>
    <xf numFmtId="40" fontId="111" fillId="59" borderId="0" xfId="173" applyNumberFormat="1" applyFont="1" applyFill="1" applyBorder="1" applyAlignment="1">
      <alignment horizontal="center"/>
    </xf>
    <xf numFmtId="10" fontId="111" fillId="59" borderId="0" xfId="287" applyNumberFormat="1" applyFont="1" applyFill="1" applyBorder="1"/>
    <xf numFmtId="165" fontId="111" fillId="59" borderId="0" xfId="2142" applyNumberFormat="1" applyFont="1" applyFill="1" applyBorder="1"/>
    <xf numFmtId="43" fontId="111" fillId="59" borderId="0" xfId="173" applyFont="1" applyFill="1" applyBorder="1"/>
    <xf numFmtId="0" fontId="111" fillId="59" borderId="0" xfId="239" applyFont="1" applyFill="1" applyBorder="1"/>
    <xf numFmtId="43" fontId="111" fillId="59" borderId="0" xfId="2142" applyFont="1" applyFill="1" applyBorder="1" applyAlignment="1">
      <alignment horizontal="right"/>
    </xf>
    <xf numFmtId="166" fontId="111" fillId="59" borderId="0" xfId="239" applyNumberFormat="1" applyFont="1" applyFill="1" applyBorder="1" applyAlignment="1">
      <alignment horizontal="right"/>
    </xf>
    <xf numFmtId="40" fontId="111" fillId="58" borderId="0" xfId="173" applyNumberFormat="1" applyFont="1" applyFill="1" applyBorder="1" applyAlignment="1">
      <alignment horizontal="center"/>
    </xf>
    <xf numFmtId="165" fontId="111" fillId="58" borderId="0" xfId="2142" applyNumberFormat="1" applyFont="1" applyFill="1" applyBorder="1"/>
    <xf numFmtId="0" fontId="33" fillId="59" borderId="0" xfId="239" applyFont="1" applyFill="1" applyBorder="1"/>
    <xf numFmtId="40" fontId="113" fillId="58" borderId="13" xfId="173" applyNumberFormat="1" applyFont="1" applyFill="1" applyBorder="1" applyAlignment="1">
      <alignment horizontal="left"/>
    </xf>
    <xf numFmtId="40" fontId="111" fillId="58" borderId="14" xfId="173" applyNumberFormat="1" applyFont="1" applyFill="1" applyBorder="1" applyAlignment="1">
      <alignment horizontal="center"/>
    </xf>
    <xf numFmtId="4" fontId="33" fillId="59" borderId="15" xfId="239" applyNumberFormat="1" applyFont="1" applyFill="1" applyBorder="1" applyAlignment="1">
      <alignment horizontal="left"/>
    </xf>
    <xf numFmtId="40" fontId="111" fillId="59" borderId="15" xfId="173" applyNumberFormat="1" applyFont="1" applyFill="1" applyBorder="1" applyAlignment="1">
      <alignment horizontal="center"/>
    </xf>
    <xf numFmtId="10" fontId="111" fillId="59" borderId="15" xfId="287" applyNumberFormat="1" applyFont="1" applyFill="1" applyBorder="1"/>
    <xf numFmtId="165" fontId="111" fillId="59" borderId="15" xfId="2142" applyNumberFormat="1" applyFont="1" applyFill="1" applyBorder="1"/>
    <xf numFmtId="43" fontId="111" fillId="59" borderId="15" xfId="173" applyFont="1" applyFill="1" applyBorder="1"/>
    <xf numFmtId="0" fontId="111" fillId="59" borderId="15" xfId="239" applyFont="1" applyFill="1" applyBorder="1"/>
    <xf numFmtId="43" fontId="111" fillId="59" borderId="15" xfId="2142" applyFont="1" applyFill="1" applyBorder="1" applyAlignment="1">
      <alignment horizontal="right"/>
    </xf>
    <xf numFmtId="166" fontId="111" fillId="59" borderId="15" xfId="239" applyNumberFormat="1" applyFont="1" applyFill="1" applyBorder="1" applyAlignment="1">
      <alignment horizontal="right"/>
    </xf>
    <xf numFmtId="166" fontId="111" fillId="59" borderId="16" xfId="239" applyNumberFormat="1" applyFont="1" applyFill="1" applyBorder="1" applyAlignment="1">
      <alignment horizontal="right"/>
    </xf>
    <xf numFmtId="0" fontId="109" fillId="24" borderId="0" xfId="0" applyFont="1" applyFill="1"/>
    <xf numFmtId="9" fontId="33" fillId="24" borderId="0" xfId="287" applyFont="1" applyFill="1"/>
    <xf numFmtId="165" fontId="111" fillId="0" borderId="0" xfId="2142" applyNumberFormat="1" applyFont="1" applyFill="1"/>
    <xf numFmtId="2" fontId="111" fillId="59" borderId="0" xfId="239" applyNumberFormat="1" applyFont="1" applyFill="1" applyBorder="1" applyAlignment="1">
      <alignment horizontal="right"/>
    </xf>
    <xf numFmtId="2" fontId="111" fillId="59" borderId="0" xfId="239" applyNumberFormat="1" applyFont="1" applyFill="1" applyBorder="1"/>
    <xf numFmtId="0" fontId="33" fillId="24" borderId="14" xfId="0" applyFont="1" applyFill="1" applyBorder="1" applyAlignment="1">
      <alignment horizontal="center"/>
    </xf>
    <xf numFmtId="0" fontId="104" fillId="25" borderId="31" xfId="932" applyFont="1" applyFill="1" applyBorder="1" applyAlignment="1">
      <alignment horizontal="center"/>
    </xf>
    <xf numFmtId="0" fontId="104" fillId="25" borderId="32" xfId="932" applyFont="1" applyFill="1" applyBorder="1" applyAlignment="1">
      <alignment horizontal="center"/>
    </xf>
    <xf numFmtId="0" fontId="104" fillId="59" borderId="28" xfId="1611" applyFont="1" applyFill="1" applyBorder="1"/>
    <xf numFmtId="0" fontId="104" fillId="59" borderId="33" xfId="1611" applyFont="1" applyFill="1" applyBorder="1" applyAlignment="1">
      <alignment horizontal="center"/>
    </xf>
    <xf numFmtId="0" fontId="104" fillId="59" borderId="29" xfId="1611" applyFont="1" applyFill="1" applyBorder="1" applyAlignment="1">
      <alignment horizontal="center"/>
    </xf>
    <xf numFmtId="0" fontId="104" fillId="59" borderId="31" xfId="1611" applyFont="1" applyFill="1" applyBorder="1"/>
    <xf numFmtId="0" fontId="104" fillId="59" borderId="32" xfId="1611" applyFont="1" applyFill="1" applyBorder="1" applyAlignment="1">
      <alignment horizontal="center"/>
    </xf>
    <xf numFmtId="0" fontId="104" fillId="59" borderId="34" xfId="1611" applyFont="1" applyFill="1" applyBorder="1" applyAlignment="1">
      <alignment horizontal="center"/>
    </xf>
    <xf numFmtId="0" fontId="104" fillId="60" borderId="33" xfId="550" applyFont="1" applyFill="1" applyBorder="1"/>
    <xf numFmtId="2" fontId="104" fillId="60" borderId="33" xfId="550" applyNumberFormat="1" applyFont="1" applyFill="1" applyBorder="1" applyAlignment="1">
      <alignment horizontal="right"/>
    </xf>
    <xf numFmtId="9" fontId="104" fillId="60" borderId="33" xfId="544" applyFont="1" applyFill="1" applyBorder="1" applyAlignment="1">
      <alignment horizontal="center"/>
    </xf>
    <xf numFmtId="0" fontId="104" fillId="60" borderId="35" xfId="550" applyFont="1" applyFill="1" applyBorder="1"/>
    <xf numFmtId="38" fontId="104" fillId="60" borderId="35" xfId="34681" applyNumberFormat="1" applyFont="1" applyFill="1" applyBorder="1" applyAlignment="1">
      <alignment horizontal="center"/>
    </xf>
    <xf numFmtId="38" fontId="104" fillId="60" borderId="0" xfId="34681" applyNumberFormat="1" applyFont="1" applyFill="1" applyAlignment="1">
      <alignment horizontal="center"/>
    </xf>
    <xf numFmtId="9" fontId="104" fillId="60" borderId="35" xfId="544" applyFont="1" applyFill="1" applyBorder="1" applyAlignment="1">
      <alignment horizontal="center"/>
    </xf>
    <xf numFmtId="0" fontId="33" fillId="60" borderId="35" xfId="550" applyFont="1" applyFill="1" applyBorder="1"/>
    <xf numFmtId="38" fontId="33" fillId="60" borderId="35" xfId="34681" applyNumberFormat="1" applyFont="1" applyFill="1" applyBorder="1" applyAlignment="1">
      <alignment horizontal="center"/>
    </xf>
    <xf numFmtId="38" fontId="33" fillId="60" borderId="0" xfId="34681" applyNumberFormat="1" applyFont="1" applyFill="1" applyAlignment="1">
      <alignment horizontal="center"/>
    </xf>
    <xf numFmtId="9" fontId="104" fillId="60" borderId="36" xfId="544" applyFont="1" applyFill="1" applyBorder="1" applyAlignment="1">
      <alignment horizontal="center"/>
    </xf>
    <xf numFmtId="0" fontId="104" fillId="0" borderId="37" xfId="1611" applyFont="1" applyBorder="1" applyAlignment="1">
      <alignment horizontal="left"/>
    </xf>
    <xf numFmtId="0" fontId="104" fillId="60" borderId="38" xfId="550" applyFont="1" applyFill="1" applyBorder="1" applyAlignment="1">
      <alignment horizontal="left"/>
    </xf>
    <xf numFmtId="0" fontId="33" fillId="60" borderId="38" xfId="550" applyFont="1" applyFill="1" applyBorder="1" applyAlignment="1">
      <alignment horizontal="left"/>
    </xf>
    <xf numFmtId="9" fontId="33" fillId="60" borderId="35" xfId="544" applyFont="1" applyFill="1" applyBorder="1" applyAlignment="1">
      <alignment horizontal="center"/>
    </xf>
    <xf numFmtId="0" fontId="104" fillId="0" borderId="37" xfId="1611" applyFont="1" applyBorder="1" applyAlignment="1">
      <alignment horizontal="justify"/>
    </xf>
    <xf numFmtId="38" fontId="104" fillId="60" borderId="36" xfId="34681" applyNumberFormat="1" applyFont="1" applyFill="1" applyBorder="1" applyAlignment="1">
      <alignment horizontal="center"/>
    </xf>
    <xf numFmtId="0" fontId="33" fillId="25" borderId="28" xfId="1081" applyFont="1" applyFill="1" applyBorder="1"/>
    <xf numFmtId="0" fontId="104" fillId="25" borderId="28" xfId="1081" applyFont="1" applyFill="1" applyBorder="1" applyAlignment="1">
      <alignment horizontal="center"/>
    </xf>
    <xf numFmtId="0" fontId="104" fillId="25" borderId="33" xfId="1081" applyFont="1" applyFill="1" applyBorder="1" applyAlignment="1">
      <alignment horizontal="center"/>
    </xf>
    <xf numFmtId="0" fontId="33" fillId="25" borderId="31" xfId="1081" applyFont="1" applyFill="1" applyBorder="1"/>
    <xf numFmtId="0" fontId="104" fillId="25" borderId="31" xfId="1081" applyFont="1" applyFill="1" applyBorder="1" applyAlignment="1">
      <alignment horizontal="center"/>
    </xf>
    <xf numFmtId="0" fontId="104" fillId="25" borderId="32" xfId="1081" applyFont="1" applyFill="1" applyBorder="1" applyAlignment="1">
      <alignment horizontal="center"/>
    </xf>
    <xf numFmtId="0" fontId="104" fillId="24" borderId="33" xfId="1081" applyFont="1" applyFill="1" applyBorder="1"/>
    <xf numFmtId="9" fontId="104" fillId="57" borderId="30" xfId="544" applyFont="1" applyFill="1" applyBorder="1" applyAlignment="1">
      <alignment horizontal="center"/>
    </xf>
    <xf numFmtId="0" fontId="104" fillId="24" borderId="35" xfId="1081" applyFont="1" applyFill="1" applyBorder="1"/>
    <xf numFmtId="9" fontId="104" fillId="57" borderId="40" xfId="544" applyFont="1" applyFill="1" applyBorder="1" applyAlignment="1">
      <alignment horizontal="center"/>
    </xf>
    <xf numFmtId="0" fontId="33" fillId="24" borderId="35" xfId="1081" applyFont="1" applyFill="1" applyBorder="1"/>
    <xf numFmtId="9" fontId="104" fillId="57" borderId="36" xfId="544" applyFont="1" applyFill="1" applyBorder="1" applyAlignment="1">
      <alignment horizontal="center"/>
    </xf>
    <xf numFmtId="38" fontId="104" fillId="24" borderId="35" xfId="546" applyNumberFormat="1" applyFont="1" applyFill="1" applyBorder="1" applyAlignment="1">
      <alignment horizontal="center"/>
    </xf>
    <xf numFmtId="9" fontId="104" fillId="57" borderId="33" xfId="544" applyFont="1" applyFill="1" applyBorder="1" applyAlignment="1">
      <alignment horizontal="center"/>
    </xf>
    <xf numFmtId="0" fontId="104" fillId="24" borderId="38" xfId="1081" applyFont="1" applyFill="1" applyBorder="1" applyAlignment="1">
      <alignment horizontal="left"/>
    </xf>
    <xf numFmtId="38" fontId="33" fillId="24" borderId="35" xfId="546" applyNumberFormat="1" applyFont="1" applyFill="1" applyBorder="1" applyAlignment="1">
      <alignment horizontal="center"/>
    </xf>
    <xf numFmtId="9" fontId="104" fillId="57" borderId="35" xfId="544" applyFont="1" applyFill="1" applyBorder="1" applyAlignment="1">
      <alignment horizontal="center"/>
    </xf>
    <xf numFmtId="38" fontId="33" fillId="57" borderId="35" xfId="546" applyNumberFormat="1" applyFont="1" applyFill="1" applyBorder="1" applyAlignment="1">
      <alignment horizontal="center"/>
    </xf>
    <xf numFmtId="9" fontId="33" fillId="57" borderId="35" xfId="544" applyFont="1" applyFill="1" applyBorder="1" applyAlignment="1">
      <alignment horizontal="center"/>
    </xf>
    <xf numFmtId="38" fontId="104" fillId="57" borderId="35" xfId="546" applyNumberFormat="1" applyFont="1" applyFill="1" applyBorder="1" applyAlignment="1">
      <alignment horizontal="center"/>
    </xf>
    <xf numFmtId="38" fontId="104" fillId="60" borderId="35" xfId="546" applyNumberFormat="1" applyFont="1" applyFill="1" applyBorder="1" applyAlignment="1">
      <alignment horizontal="center"/>
    </xf>
    <xf numFmtId="38" fontId="33" fillId="60" borderId="35" xfId="546" applyNumberFormat="1" applyFont="1" applyFill="1" applyBorder="1" applyAlignment="1">
      <alignment horizontal="center"/>
    </xf>
    <xf numFmtId="168" fontId="104" fillId="61" borderId="28" xfId="550" applyNumberFormat="1" applyFont="1" applyFill="1" applyBorder="1"/>
    <xf numFmtId="0" fontId="104" fillId="59" borderId="28" xfId="0" applyFont="1" applyFill="1" applyBorder="1" applyAlignment="1">
      <alignment horizontal="center"/>
    </xf>
    <xf numFmtId="168" fontId="104" fillId="61" borderId="33" xfId="550" applyNumberFormat="1" applyFont="1" applyFill="1" applyBorder="1" applyAlignment="1">
      <alignment horizontal="center"/>
    </xf>
    <xf numFmtId="0" fontId="33" fillId="25" borderId="28" xfId="550" applyFont="1" applyFill="1" applyBorder="1"/>
    <xf numFmtId="0" fontId="104" fillId="25" borderId="33" xfId="550" applyFont="1" applyFill="1" applyBorder="1" applyAlignment="1">
      <alignment horizontal="center"/>
    </xf>
    <xf numFmtId="168" fontId="104" fillId="25" borderId="31" xfId="549" applyFont="1" applyFill="1" applyBorder="1"/>
    <xf numFmtId="168" fontId="104" fillId="25" borderId="31" xfId="549" applyFont="1" applyFill="1" applyBorder="1" applyAlignment="1">
      <alignment horizontal="center"/>
    </xf>
    <xf numFmtId="168" fontId="104" fillId="25" borderId="32" xfId="549" applyFont="1" applyFill="1" applyBorder="1" applyAlignment="1">
      <alignment horizontal="center"/>
    </xf>
    <xf numFmtId="0" fontId="33" fillId="25" borderId="31" xfId="550" applyFont="1" applyFill="1" applyBorder="1"/>
    <xf numFmtId="0" fontId="104" fillId="25" borderId="31" xfId="550" applyFont="1" applyFill="1" applyBorder="1" applyAlignment="1">
      <alignment horizontal="center"/>
    </xf>
    <xf numFmtId="0" fontId="104" fillId="25" borderId="32" xfId="550" applyFont="1" applyFill="1" applyBorder="1" applyAlignment="1">
      <alignment horizontal="center"/>
    </xf>
    <xf numFmtId="168" fontId="104" fillId="57" borderId="33" xfId="549" applyFont="1" applyFill="1" applyBorder="1"/>
    <xf numFmtId="43" fontId="104" fillId="57" borderId="38" xfId="546" applyFont="1" applyFill="1" applyBorder="1" applyAlignment="1">
      <alignment horizontal="center"/>
    </xf>
    <xf numFmtId="0" fontId="104" fillId="57" borderId="33" xfId="550" applyFont="1" applyFill="1" applyBorder="1"/>
    <xf numFmtId="43" fontId="33" fillId="57" borderId="38" xfId="546" applyFont="1" applyFill="1" applyBorder="1" applyAlignment="1">
      <alignment horizontal="center"/>
    </xf>
    <xf numFmtId="9" fontId="104" fillId="57" borderId="33" xfId="290" applyFont="1" applyFill="1" applyBorder="1" applyAlignment="1">
      <alignment horizontal="center"/>
    </xf>
    <xf numFmtId="168" fontId="104" fillId="57" borderId="35" xfId="549" applyFont="1" applyFill="1" applyBorder="1"/>
    <xf numFmtId="38" fontId="104" fillId="57" borderId="38" xfId="546" applyNumberFormat="1" applyFont="1" applyFill="1" applyBorder="1" applyAlignment="1">
      <alignment horizontal="center"/>
    </xf>
    <xf numFmtId="0" fontId="104" fillId="57" borderId="35" xfId="550" applyFont="1" applyFill="1" applyBorder="1"/>
    <xf numFmtId="9" fontId="104" fillId="57" borderId="35" xfId="290" applyFont="1" applyFill="1" applyBorder="1" applyAlignment="1">
      <alignment horizontal="center"/>
    </xf>
    <xf numFmtId="168" fontId="33" fillId="57" borderId="35" xfId="549" applyFont="1" applyFill="1" applyBorder="1"/>
    <xf numFmtId="38" fontId="108" fillId="57" borderId="38" xfId="546" applyNumberFormat="1" applyFont="1" applyFill="1" applyBorder="1" applyAlignment="1">
      <alignment horizontal="center"/>
    </xf>
    <xf numFmtId="0" fontId="33" fillId="57" borderId="35" xfId="550" applyFont="1" applyFill="1" applyBorder="1"/>
    <xf numFmtId="38" fontId="33" fillId="57" borderId="38" xfId="546" applyNumberFormat="1" applyFont="1" applyFill="1" applyBorder="1" applyAlignment="1">
      <alignment horizontal="center"/>
    </xf>
    <xf numFmtId="168" fontId="104" fillId="57" borderId="31" xfId="549" applyFont="1" applyFill="1" applyBorder="1"/>
    <xf numFmtId="38" fontId="104" fillId="57" borderId="37" xfId="546" applyNumberFormat="1" applyFont="1" applyFill="1" applyBorder="1" applyAlignment="1">
      <alignment horizontal="center"/>
    </xf>
    <xf numFmtId="9" fontId="104" fillId="57" borderId="36" xfId="290" applyFont="1" applyFill="1" applyBorder="1" applyAlignment="1">
      <alignment horizontal="center"/>
    </xf>
    <xf numFmtId="168" fontId="104" fillId="24" borderId="37" xfId="549" applyFont="1" applyFill="1" applyBorder="1" applyAlignment="1">
      <alignment horizontal="left"/>
    </xf>
    <xf numFmtId="0" fontId="104" fillId="57" borderId="37" xfId="550" applyFont="1" applyFill="1" applyBorder="1" applyAlignment="1">
      <alignment horizontal="left"/>
    </xf>
    <xf numFmtId="9" fontId="33" fillId="57" borderId="35" xfId="290" applyFont="1" applyFill="1" applyBorder="1" applyAlignment="1">
      <alignment horizontal="center"/>
    </xf>
    <xf numFmtId="168" fontId="104" fillId="24" borderId="38" xfId="549" applyFont="1" applyFill="1" applyBorder="1" applyAlignment="1">
      <alignment horizontal="left"/>
    </xf>
    <xf numFmtId="38" fontId="104" fillId="57" borderId="35" xfId="34681" applyNumberFormat="1" applyFont="1" applyFill="1" applyBorder="1" applyAlignment="1">
      <alignment horizontal="center"/>
    </xf>
    <xf numFmtId="0" fontId="104" fillId="57" borderId="38" xfId="550" applyFont="1" applyFill="1" applyBorder="1" applyAlignment="1">
      <alignment horizontal="left"/>
    </xf>
    <xf numFmtId="168" fontId="33" fillId="57" borderId="38" xfId="549" applyFont="1" applyFill="1" applyBorder="1" applyAlignment="1">
      <alignment horizontal="left"/>
    </xf>
    <xf numFmtId="0" fontId="33" fillId="57" borderId="38" xfId="550" applyFont="1" applyFill="1" applyBorder="1" applyAlignment="1">
      <alignment horizontal="left"/>
    </xf>
    <xf numFmtId="168" fontId="104" fillId="57" borderId="38" xfId="549" applyFont="1" applyFill="1" applyBorder="1" applyAlignment="1">
      <alignment horizontal="left"/>
    </xf>
    <xf numFmtId="168" fontId="104" fillId="24" borderId="37" xfId="549" applyFont="1" applyFill="1" applyBorder="1" applyAlignment="1">
      <alignment horizontal="justify"/>
    </xf>
    <xf numFmtId="0" fontId="33" fillId="25" borderId="28" xfId="933" applyFont="1" applyFill="1" applyBorder="1"/>
    <xf numFmtId="0" fontId="104" fillId="25" borderId="33" xfId="933" applyFont="1" applyFill="1" applyBorder="1" applyAlignment="1">
      <alignment horizontal="center"/>
    </xf>
    <xf numFmtId="0" fontId="33" fillId="25" borderId="31" xfId="3964" applyFont="1" applyFill="1" applyBorder="1"/>
    <xf numFmtId="0" fontId="104" fillId="25" borderId="31" xfId="3964" applyFont="1" applyFill="1" applyBorder="1" applyAlignment="1">
      <alignment horizontal="center"/>
    </xf>
    <xf numFmtId="0" fontId="104" fillId="25" borderId="32" xfId="3964" applyFont="1" applyFill="1" applyBorder="1" applyAlignment="1">
      <alignment horizontal="center"/>
    </xf>
    <xf numFmtId="0" fontId="104" fillId="57" borderId="33" xfId="3964" applyFont="1" applyFill="1" applyBorder="1"/>
    <xf numFmtId="43" fontId="33" fillId="24" borderId="35" xfId="371" applyFont="1" applyFill="1" applyBorder="1" applyAlignment="1">
      <alignment horizontal="center"/>
    </xf>
    <xf numFmtId="0" fontId="104" fillId="57" borderId="35" xfId="3964" applyFont="1" applyFill="1" applyBorder="1"/>
    <xf numFmtId="38" fontId="104" fillId="24" borderId="35" xfId="371" applyNumberFormat="1" applyFont="1" applyFill="1" applyBorder="1" applyAlignment="1">
      <alignment horizontal="center"/>
    </xf>
    <xf numFmtId="168" fontId="33" fillId="61" borderId="28" xfId="34675" applyNumberFormat="1" applyFont="1" applyFill="1" applyBorder="1"/>
    <xf numFmtId="168" fontId="104" fillId="61" borderId="33" xfId="34675" applyNumberFormat="1" applyFont="1" applyFill="1" applyBorder="1" applyAlignment="1">
      <alignment horizontal="center"/>
    </xf>
    <xf numFmtId="0" fontId="33" fillId="57" borderId="35" xfId="3964" applyFont="1" applyFill="1" applyBorder="1"/>
    <xf numFmtId="38" fontId="33" fillId="24" borderId="35" xfId="371" applyNumberFormat="1" applyFont="1" applyFill="1" applyBorder="1" applyAlignment="1">
      <alignment horizontal="center"/>
    </xf>
    <xf numFmtId="168" fontId="33" fillId="61" borderId="31" xfId="34675" applyNumberFormat="1" applyFont="1" applyFill="1" applyBorder="1"/>
    <xf numFmtId="168" fontId="104" fillId="61" borderId="31" xfId="34675" applyNumberFormat="1" applyFont="1" applyFill="1" applyBorder="1" applyAlignment="1">
      <alignment horizontal="center"/>
    </xf>
    <xf numFmtId="168" fontId="104" fillId="61" borderId="32" xfId="34675" applyNumberFormat="1" applyFont="1" applyFill="1" applyBorder="1" applyAlignment="1">
      <alignment horizontal="center"/>
    </xf>
    <xf numFmtId="0" fontId="33" fillId="57" borderId="33" xfId="34668" applyFont="1" applyFill="1" applyBorder="1"/>
    <xf numFmtId="2" fontId="33" fillId="57" borderId="33" xfId="34668" applyNumberFormat="1" applyFont="1" applyFill="1" applyBorder="1" applyAlignment="1">
      <alignment horizontal="right"/>
    </xf>
    <xf numFmtId="9" fontId="104" fillId="57" borderId="30" xfId="34667" applyFont="1" applyFill="1" applyBorder="1" applyAlignment="1">
      <alignment horizontal="center"/>
    </xf>
    <xf numFmtId="0" fontId="104" fillId="57" borderId="35" xfId="34668" applyFont="1" applyFill="1" applyBorder="1"/>
    <xf numFmtId="9" fontId="104" fillId="57" borderId="35" xfId="34667" applyFont="1" applyFill="1" applyBorder="1" applyAlignment="1">
      <alignment horizontal="center"/>
    </xf>
    <xf numFmtId="38" fontId="104" fillId="24" borderId="36" xfId="371" applyNumberFormat="1" applyFont="1" applyFill="1" applyBorder="1" applyAlignment="1">
      <alignment horizontal="center"/>
    </xf>
    <xf numFmtId="0" fontId="33" fillId="57" borderId="35" xfId="34668" applyFont="1" applyFill="1" applyBorder="1"/>
    <xf numFmtId="38" fontId="33" fillId="57" borderId="35" xfId="34681" applyNumberFormat="1" applyFont="1" applyFill="1" applyBorder="1" applyAlignment="1">
      <alignment horizontal="center"/>
    </xf>
    <xf numFmtId="0" fontId="104" fillId="57" borderId="37" xfId="3964" applyFont="1" applyFill="1" applyBorder="1" applyAlignment="1">
      <alignment horizontal="left"/>
    </xf>
    <xf numFmtId="0" fontId="104" fillId="57" borderId="38" xfId="3964" applyFont="1" applyFill="1" applyBorder="1" applyAlignment="1">
      <alignment horizontal="left"/>
    </xf>
    <xf numFmtId="38" fontId="33" fillId="57" borderId="32" xfId="34681" applyNumberFormat="1" applyFont="1" applyFill="1" applyBorder="1" applyAlignment="1">
      <alignment horizontal="center"/>
    </xf>
    <xf numFmtId="9" fontId="104" fillId="57" borderId="40" xfId="34667" applyFont="1" applyFill="1" applyBorder="1" applyAlignment="1">
      <alignment horizontal="center"/>
    </xf>
    <xf numFmtId="0" fontId="104" fillId="57" borderId="32" xfId="34668" applyFont="1" applyFill="1" applyBorder="1"/>
    <xf numFmtId="38" fontId="104" fillId="57" borderId="36" xfId="34681" applyNumberFormat="1" applyFont="1" applyFill="1" applyBorder="1" applyAlignment="1">
      <alignment horizontal="center"/>
    </xf>
    <xf numFmtId="9" fontId="104" fillId="57" borderId="36" xfId="34667" applyFont="1" applyFill="1" applyBorder="1" applyAlignment="1">
      <alignment horizontal="center"/>
    </xf>
    <xf numFmtId="0" fontId="33" fillId="57" borderId="38" xfId="3964" applyFont="1" applyFill="1" applyBorder="1" applyAlignment="1">
      <alignment horizontal="left"/>
    </xf>
    <xf numFmtId="9" fontId="33" fillId="57" borderId="40" xfId="544" applyFont="1" applyFill="1" applyBorder="1" applyAlignment="1">
      <alignment horizontal="center"/>
    </xf>
    <xf numFmtId="0" fontId="104" fillId="57" borderId="37" xfId="34668" applyFont="1" applyFill="1" applyBorder="1" applyAlignment="1">
      <alignment horizontal="left"/>
    </xf>
    <xf numFmtId="38" fontId="33" fillId="57" borderId="33" xfId="34681" applyNumberFormat="1" applyFont="1" applyFill="1" applyBorder="1" applyAlignment="1">
      <alignment horizontal="center"/>
    </xf>
    <xf numFmtId="0" fontId="104" fillId="57" borderId="38" xfId="34668" applyFont="1" applyFill="1" applyBorder="1" applyAlignment="1">
      <alignment horizontal="left"/>
    </xf>
    <xf numFmtId="0" fontId="33" fillId="57" borderId="38" xfId="34668" applyFont="1" applyFill="1" applyBorder="1" applyAlignment="1">
      <alignment horizontal="left"/>
    </xf>
    <xf numFmtId="9" fontId="33" fillId="57" borderId="40" xfId="34667" applyFont="1" applyFill="1" applyBorder="1" applyAlignment="1">
      <alignment horizontal="center"/>
    </xf>
    <xf numFmtId="0" fontId="33" fillId="24" borderId="35" xfId="3964" applyFont="1" applyFill="1" applyBorder="1" applyAlignment="1">
      <alignment horizontal="left"/>
    </xf>
    <xf numFmtId="0" fontId="104" fillId="57" borderId="37" xfId="34668" applyFont="1" applyFill="1" applyBorder="1" applyAlignment="1">
      <alignment horizontal="justify"/>
    </xf>
    <xf numFmtId="0" fontId="104" fillId="57" borderId="37" xfId="3964" applyFont="1" applyFill="1" applyBorder="1" applyAlignment="1">
      <alignment horizontal="justify"/>
    </xf>
    <xf numFmtId="0" fontId="119" fillId="61" borderId="38" xfId="0" applyFont="1" applyFill="1" applyBorder="1"/>
    <xf numFmtId="0" fontId="117" fillId="62" borderId="35" xfId="0" applyFont="1" applyFill="1" applyBorder="1" applyAlignment="1">
      <alignment horizontal="center" vertical="center"/>
    </xf>
    <xf numFmtId="0" fontId="117" fillId="62" borderId="40" xfId="0" applyFont="1" applyFill="1" applyBorder="1" applyAlignment="1">
      <alignment horizontal="center" vertical="center"/>
    </xf>
    <xf numFmtId="0" fontId="118" fillId="61" borderId="40" xfId="0" applyFont="1" applyFill="1" applyBorder="1"/>
    <xf numFmtId="0" fontId="104" fillId="25" borderId="28" xfId="1081" applyFont="1" applyFill="1" applyBorder="1"/>
    <xf numFmtId="0" fontId="119" fillId="61" borderId="31" xfId="0" applyFont="1" applyFill="1" applyBorder="1"/>
    <xf numFmtId="168" fontId="117" fillId="62" borderId="31" xfId="0" applyNumberFormat="1" applyFont="1" applyFill="1" applyBorder="1" applyAlignment="1">
      <alignment horizontal="center" vertical="center"/>
    </xf>
    <xf numFmtId="0" fontId="118" fillId="61" borderId="32" xfId="0" applyFont="1" applyFill="1" applyBorder="1"/>
    <xf numFmtId="0" fontId="104" fillId="25" borderId="31" xfId="932" applyFont="1" applyFill="1" applyBorder="1"/>
    <xf numFmtId="0" fontId="118" fillId="60" borderId="35" xfId="0" applyFont="1" applyFill="1" applyBorder="1"/>
    <xf numFmtId="38" fontId="117" fillId="63" borderId="40" xfId="137" applyNumberFormat="1" applyFont="1" applyFill="1" applyBorder="1" applyAlignment="1">
      <alignment horizontal="center"/>
    </xf>
    <xf numFmtId="9" fontId="118" fillId="60" borderId="40" xfId="0" applyNumberFormat="1" applyFont="1" applyFill="1" applyBorder="1" applyAlignment="1">
      <alignment horizontal="center"/>
    </xf>
    <xf numFmtId="0" fontId="104" fillId="24" borderId="38" xfId="932" applyFont="1" applyFill="1" applyBorder="1" applyAlignment="1">
      <alignment horizontal="left"/>
    </xf>
    <xf numFmtId="0" fontId="119" fillId="60" borderId="35" xfId="0" applyFont="1" applyFill="1" applyBorder="1"/>
    <xf numFmtId="38" fontId="111" fillId="63" borderId="40" xfId="137" applyNumberFormat="1" applyFont="1" applyFill="1" applyBorder="1" applyAlignment="1">
      <alignment horizontal="center"/>
    </xf>
    <xf numFmtId="0" fontId="119" fillId="60" borderId="40" xfId="0" applyFont="1" applyFill="1" applyBorder="1" applyAlignment="1">
      <alignment horizontal="center"/>
    </xf>
    <xf numFmtId="0" fontId="33" fillId="24" borderId="38" xfId="932" applyFont="1" applyFill="1" applyBorder="1" applyAlignment="1">
      <alignment horizontal="left"/>
    </xf>
    <xf numFmtId="0" fontId="118" fillId="60" borderId="35" xfId="0" applyFont="1" applyFill="1" applyBorder="1" applyAlignment="1">
      <alignment wrapText="1"/>
    </xf>
    <xf numFmtId="38" fontId="117" fillId="63" borderId="36" xfId="137" applyNumberFormat="1" applyFont="1" applyFill="1" applyBorder="1" applyAlignment="1">
      <alignment horizontal="center"/>
    </xf>
    <xf numFmtId="9" fontId="118" fillId="60" borderId="36" xfId="0" applyNumberFormat="1" applyFont="1" applyFill="1" applyBorder="1" applyAlignment="1">
      <alignment horizontal="center"/>
    </xf>
    <xf numFmtId="168" fontId="104" fillId="0" borderId="35" xfId="0" applyNumberFormat="1" applyFont="1" applyBorder="1"/>
    <xf numFmtId="38" fontId="104" fillId="0" borderId="36" xfId="546" applyNumberFormat="1" applyFont="1" applyBorder="1" applyAlignment="1">
      <alignment horizontal="center"/>
    </xf>
    <xf numFmtId="9" fontId="104" fillId="0" borderId="36" xfId="544" applyFont="1" applyBorder="1" applyAlignment="1">
      <alignment horizontal="center"/>
    </xf>
    <xf numFmtId="0" fontId="118" fillId="60" borderId="37" xfId="0" applyFont="1" applyFill="1" applyBorder="1"/>
    <xf numFmtId="0" fontId="118" fillId="60" borderId="40" xfId="0" applyFont="1" applyFill="1" applyBorder="1"/>
    <xf numFmtId="0" fontId="118" fillId="60" borderId="40" xfId="0" applyFont="1" applyFill="1" applyBorder="1" applyAlignment="1">
      <alignment horizontal="center"/>
    </xf>
    <xf numFmtId="168" fontId="104" fillId="0" borderId="37" xfId="0" applyNumberFormat="1" applyFont="1" applyBorder="1" applyAlignment="1">
      <alignment horizontal="left"/>
    </xf>
    <xf numFmtId="37" fontId="33" fillId="0" borderId="38" xfId="546" applyNumberFormat="1" applyFont="1" applyBorder="1" applyAlignment="1">
      <alignment horizontal="center"/>
    </xf>
    <xf numFmtId="37" fontId="33" fillId="0" borderId="33" xfId="546" applyNumberFormat="1" applyFont="1" applyBorder="1" applyAlignment="1">
      <alignment horizontal="center"/>
    </xf>
    <xf numFmtId="9" fontId="104" fillId="0" borderId="40" xfId="544" applyFont="1" applyBorder="1" applyAlignment="1">
      <alignment horizontal="center"/>
    </xf>
    <xf numFmtId="168" fontId="104" fillId="57" borderId="38" xfId="0" applyNumberFormat="1" applyFont="1" applyFill="1" applyBorder="1" applyAlignment="1">
      <alignment horizontal="left"/>
    </xf>
    <xf numFmtId="168" fontId="104" fillId="0" borderId="38" xfId="0" applyNumberFormat="1" applyFont="1" applyBorder="1" applyAlignment="1">
      <alignment horizontal="left"/>
    </xf>
    <xf numFmtId="37" fontId="33" fillId="0" borderId="35" xfId="546" applyNumberFormat="1" applyFont="1" applyBorder="1" applyAlignment="1">
      <alignment horizontal="center"/>
    </xf>
    <xf numFmtId="9" fontId="119" fillId="60" borderId="40" xfId="0" applyNumberFormat="1" applyFont="1" applyFill="1" applyBorder="1" applyAlignment="1">
      <alignment horizontal="center"/>
    </xf>
    <xf numFmtId="37" fontId="33" fillId="24" borderId="35" xfId="546" applyNumberFormat="1" applyFont="1" applyFill="1" applyBorder="1" applyAlignment="1">
      <alignment horizontal="center"/>
    </xf>
    <xf numFmtId="37" fontId="104" fillId="24" borderId="35" xfId="546" applyNumberFormat="1" applyFont="1" applyFill="1" applyBorder="1" applyAlignment="1">
      <alignment horizontal="center"/>
    </xf>
    <xf numFmtId="0" fontId="33" fillId="0" borderId="35" xfId="0" applyFont="1" applyBorder="1"/>
    <xf numFmtId="168" fontId="104" fillId="0" borderId="37" xfId="0" applyNumberFormat="1" applyFont="1" applyBorder="1" applyAlignment="1">
      <alignment horizontal="justify"/>
    </xf>
    <xf numFmtId="37" fontId="104" fillId="0" borderId="36" xfId="546" applyNumberFormat="1" applyFont="1" applyBorder="1" applyAlignment="1">
      <alignment horizontal="center"/>
    </xf>
    <xf numFmtId="9" fontId="104" fillId="0" borderId="43" xfId="544" applyFont="1" applyBorder="1" applyAlignment="1">
      <alignment horizontal="center"/>
    </xf>
    <xf numFmtId="168" fontId="33" fillId="61" borderId="28" xfId="550" applyNumberFormat="1" applyFont="1" applyFill="1" applyBorder="1"/>
    <xf numFmtId="0" fontId="104" fillId="59" borderId="28" xfId="6019" applyNumberFormat="1" applyFont="1" applyFill="1" applyBorder="1" applyAlignment="1">
      <alignment horizontal="center"/>
    </xf>
    <xf numFmtId="168" fontId="33" fillId="61" borderId="31" xfId="6019" applyFont="1" applyFill="1" applyBorder="1"/>
    <xf numFmtId="168" fontId="104" fillId="61" borderId="31" xfId="6019" applyFont="1" applyFill="1" applyBorder="1" applyAlignment="1">
      <alignment horizontal="center"/>
    </xf>
    <xf numFmtId="168" fontId="104" fillId="61" borderId="32" xfId="6019" applyFont="1" applyFill="1" applyBorder="1" applyAlignment="1">
      <alignment horizontal="center"/>
    </xf>
    <xf numFmtId="168" fontId="33" fillId="57" borderId="28" xfId="1082" applyFont="1" applyFill="1" applyBorder="1"/>
    <xf numFmtId="43" fontId="33" fillId="57" borderId="33" xfId="30775" applyFont="1" applyFill="1" applyBorder="1" applyAlignment="1">
      <alignment horizontal="center"/>
    </xf>
    <xf numFmtId="2" fontId="33" fillId="57" borderId="33" xfId="1082" applyNumberFormat="1" applyFont="1" applyFill="1" applyBorder="1" applyAlignment="1">
      <alignment horizontal="right"/>
    </xf>
    <xf numFmtId="9" fontId="33" fillId="57" borderId="33" xfId="544" applyFont="1" applyFill="1" applyBorder="1" applyAlignment="1">
      <alignment horizontal="center"/>
    </xf>
    <xf numFmtId="0" fontId="118" fillId="60" borderId="36" xfId="0" applyFont="1" applyFill="1" applyBorder="1"/>
    <xf numFmtId="38" fontId="117" fillId="63" borderId="44" xfId="137" applyNumberFormat="1" applyFont="1" applyFill="1" applyBorder="1" applyAlignment="1">
      <alignment horizontal="center"/>
    </xf>
    <xf numFmtId="9" fontId="118" fillId="60" borderId="45" xfId="0" applyNumberFormat="1" applyFont="1" applyFill="1" applyBorder="1" applyAlignment="1">
      <alignment horizontal="center"/>
    </xf>
    <xf numFmtId="168" fontId="104" fillId="57" borderId="38" xfId="1082" applyFont="1" applyFill="1" applyBorder="1"/>
    <xf numFmtId="38" fontId="104" fillId="57" borderId="35" xfId="30775" applyNumberFormat="1" applyFont="1" applyFill="1" applyBorder="1" applyAlignment="1">
      <alignment horizontal="center"/>
    </xf>
    <xf numFmtId="38" fontId="33" fillId="0" borderId="0" xfId="140" applyNumberFormat="1" applyFont="1" applyBorder="1" applyAlignment="1">
      <alignment horizontal="center"/>
    </xf>
    <xf numFmtId="38" fontId="33" fillId="0" borderId="0" xfId="6019" applyNumberFormat="1" applyFont="1" applyAlignment="1">
      <alignment horizontal="center"/>
    </xf>
    <xf numFmtId="9" fontId="33" fillId="0" borderId="0" xfId="287" applyFont="1"/>
    <xf numFmtId="168" fontId="33" fillId="57" borderId="38" xfId="1082" applyFont="1" applyFill="1" applyBorder="1"/>
    <xf numFmtId="38" fontId="33" fillId="57" borderId="35" xfId="30775" applyNumberFormat="1" applyFont="1" applyFill="1" applyBorder="1" applyAlignment="1">
      <alignment horizontal="center"/>
    </xf>
    <xf numFmtId="168" fontId="33" fillId="61" borderId="28" xfId="12628" applyNumberFormat="1" applyFont="1" applyFill="1" applyBorder="1" applyAlignment="1">
      <alignment wrapText="1"/>
    </xf>
    <xf numFmtId="0" fontId="104" fillId="25" borderId="28" xfId="933" applyFont="1" applyFill="1" applyBorder="1" applyAlignment="1">
      <alignment horizontal="center"/>
    </xf>
    <xf numFmtId="168" fontId="104" fillId="61" borderId="33" xfId="12628" applyNumberFormat="1" applyFont="1" applyFill="1" applyBorder="1" applyAlignment="1">
      <alignment horizontal="center"/>
    </xf>
    <xf numFmtId="38" fontId="104" fillId="57" borderId="36" xfId="30775" applyNumberFormat="1" applyFont="1" applyFill="1" applyBorder="1" applyAlignment="1">
      <alignment horizontal="center"/>
    </xf>
    <xf numFmtId="9" fontId="104" fillId="57" borderId="43" xfId="544" applyFont="1" applyFill="1" applyBorder="1" applyAlignment="1">
      <alignment horizontal="center"/>
    </xf>
    <xf numFmtId="168" fontId="33" fillId="61" borderId="31" xfId="12628" applyNumberFormat="1" applyFont="1" applyFill="1" applyBorder="1" applyAlignment="1">
      <alignment wrapText="1"/>
    </xf>
    <xf numFmtId="168" fontId="104" fillId="61" borderId="31" xfId="12628" applyNumberFormat="1" applyFont="1" applyFill="1" applyBorder="1" applyAlignment="1">
      <alignment horizontal="center"/>
    </xf>
    <xf numFmtId="168" fontId="104" fillId="61" borderId="32" xfId="12628" applyNumberFormat="1" applyFont="1" applyFill="1" applyBorder="1" applyAlignment="1">
      <alignment horizontal="center"/>
    </xf>
    <xf numFmtId="168" fontId="104" fillId="57" borderId="37" xfId="1082" applyFont="1" applyFill="1" applyBorder="1" applyAlignment="1">
      <alignment horizontal="left"/>
    </xf>
    <xf numFmtId="0" fontId="104" fillId="24" borderId="28" xfId="1079" applyFont="1" applyFill="1" applyBorder="1"/>
    <xf numFmtId="43" fontId="33" fillId="57" borderId="38" xfId="163" applyFont="1" applyFill="1" applyBorder="1" applyAlignment="1">
      <alignment horizontal="center"/>
    </xf>
    <xf numFmtId="168" fontId="104" fillId="57" borderId="38" xfId="1082" applyFont="1" applyFill="1" applyBorder="1" applyAlignment="1">
      <alignment horizontal="left"/>
    </xf>
    <xf numFmtId="0" fontId="104" fillId="24" borderId="38" xfId="1079" applyFont="1" applyFill="1" applyBorder="1"/>
    <xf numFmtId="38" fontId="104" fillId="57" borderId="38" xfId="163" applyNumberFormat="1" applyFont="1" applyFill="1" applyBorder="1" applyAlignment="1">
      <alignment horizontal="center"/>
    </xf>
    <xf numFmtId="0" fontId="33" fillId="24" borderId="38" xfId="1079" applyFont="1" applyFill="1" applyBorder="1"/>
    <xf numFmtId="38" fontId="33" fillId="57" borderId="38" xfId="163" applyNumberFormat="1" applyFont="1" applyFill="1" applyBorder="1" applyAlignment="1">
      <alignment horizontal="center"/>
    </xf>
    <xf numFmtId="168" fontId="33" fillId="57" borderId="38" xfId="1082" applyFont="1" applyFill="1" applyBorder="1" applyAlignment="1">
      <alignment horizontal="left"/>
    </xf>
    <xf numFmtId="38" fontId="104" fillId="57" borderId="37" xfId="163" applyNumberFormat="1" applyFont="1" applyFill="1" applyBorder="1" applyAlignment="1">
      <alignment horizontal="center"/>
    </xf>
    <xf numFmtId="0" fontId="104" fillId="24" borderId="37" xfId="1079" applyFont="1" applyFill="1" applyBorder="1" applyAlignment="1">
      <alignment horizontal="left"/>
    </xf>
    <xf numFmtId="0" fontId="104" fillId="24" borderId="38" xfId="1079" applyFont="1" applyFill="1" applyBorder="1" applyAlignment="1">
      <alignment horizontal="left"/>
    </xf>
    <xf numFmtId="0" fontId="33" fillId="24" borderId="38" xfId="1079" applyFont="1" applyFill="1" applyBorder="1" applyAlignment="1">
      <alignment horizontal="left"/>
    </xf>
    <xf numFmtId="0" fontId="33" fillId="57" borderId="38" xfId="1079" applyFont="1" applyFill="1" applyBorder="1" applyAlignment="1">
      <alignment horizontal="left"/>
    </xf>
    <xf numFmtId="9" fontId="104" fillId="57" borderId="36" xfId="287" applyFont="1" applyFill="1" applyBorder="1" applyAlignment="1">
      <alignment horizontal="center"/>
    </xf>
    <xf numFmtId="168" fontId="104" fillId="0" borderId="37" xfId="1082" applyFont="1" applyBorder="1" applyAlignment="1">
      <alignment horizontal="left"/>
    </xf>
    <xf numFmtId="38" fontId="104" fillId="0" borderId="36" xfId="30775" applyNumberFormat="1" applyFont="1" applyBorder="1" applyAlignment="1">
      <alignment horizontal="center"/>
    </xf>
    <xf numFmtId="168" fontId="33" fillId="25" borderId="28" xfId="2132" applyFont="1" applyFill="1" applyBorder="1"/>
    <xf numFmtId="0" fontId="104" fillId="59" borderId="28" xfId="2132" applyNumberFormat="1" applyFont="1" applyFill="1" applyBorder="1" applyAlignment="1">
      <alignment horizontal="center"/>
    </xf>
    <xf numFmtId="168" fontId="104" fillId="25" borderId="33" xfId="2132" applyFont="1" applyFill="1" applyBorder="1" applyAlignment="1">
      <alignment horizontal="center"/>
    </xf>
    <xf numFmtId="168" fontId="33" fillId="25" borderId="31" xfId="2132" applyFont="1" applyFill="1" applyBorder="1"/>
    <xf numFmtId="168" fontId="104" fillId="25" borderId="31" xfId="2132" applyFont="1" applyFill="1" applyBorder="1" applyAlignment="1">
      <alignment horizontal="center"/>
    </xf>
    <xf numFmtId="168" fontId="104" fillId="25" borderId="32" xfId="2132" applyFont="1" applyFill="1" applyBorder="1" applyAlignment="1">
      <alignment horizontal="center"/>
    </xf>
    <xf numFmtId="0" fontId="104" fillId="59" borderId="31" xfId="932" applyFont="1" applyFill="1" applyBorder="1"/>
    <xf numFmtId="0" fontId="104" fillId="59" borderId="31" xfId="932" applyFont="1" applyFill="1" applyBorder="1" applyAlignment="1">
      <alignment horizontal="center"/>
    </xf>
    <xf numFmtId="0" fontId="104" fillId="59" borderId="32" xfId="932" applyFont="1" applyFill="1" applyBorder="1" applyAlignment="1">
      <alignment horizontal="center"/>
    </xf>
    <xf numFmtId="168" fontId="104" fillId="57" borderId="33" xfId="2132" applyFont="1" applyFill="1" applyBorder="1"/>
    <xf numFmtId="168" fontId="104" fillId="57" borderId="33" xfId="0" applyNumberFormat="1" applyFont="1" applyFill="1" applyBorder="1"/>
    <xf numFmtId="2" fontId="104" fillId="57" borderId="33" xfId="0" applyNumberFormat="1" applyFont="1" applyFill="1" applyBorder="1" applyAlignment="1">
      <alignment horizontal="right"/>
    </xf>
    <xf numFmtId="2" fontId="104" fillId="57" borderId="28" xfId="0" applyNumberFormat="1" applyFont="1" applyFill="1" applyBorder="1" applyAlignment="1">
      <alignment horizontal="right"/>
    </xf>
    <xf numFmtId="168" fontId="104" fillId="57" borderId="35" xfId="2132" applyFont="1" applyFill="1" applyBorder="1"/>
    <xf numFmtId="168" fontId="104" fillId="57" borderId="35" xfId="0" applyNumberFormat="1" applyFont="1" applyFill="1" applyBorder="1"/>
    <xf numFmtId="168" fontId="33" fillId="57" borderId="35" xfId="2132" applyFont="1" applyFill="1" applyBorder="1"/>
    <xf numFmtId="168" fontId="33" fillId="57" borderId="35" xfId="0" applyNumberFormat="1" applyFont="1" applyFill="1" applyBorder="1"/>
    <xf numFmtId="9" fontId="104" fillId="57" borderId="32" xfId="544" applyFont="1" applyFill="1" applyBorder="1" applyAlignment="1">
      <alignment horizontal="center"/>
    </xf>
    <xf numFmtId="38" fontId="104" fillId="57" borderId="36" xfId="163" applyNumberFormat="1" applyFont="1" applyFill="1" applyBorder="1" applyAlignment="1">
      <alignment horizontal="center"/>
    </xf>
    <xf numFmtId="168" fontId="104" fillId="57" borderId="32" xfId="0" applyNumberFormat="1" applyFont="1" applyFill="1" applyBorder="1"/>
    <xf numFmtId="38" fontId="104" fillId="57" borderId="36" xfId="546" applyNumberFormat="1" applyFont="1" applyFill="1" applyBorder="1" applyAlignment="1">
      <alignment horizontal="center"/>
    </xf>
    <xf numFmtId="168" fontId="104" fillId="57" borderId="37" xfId="2132" applyFont="1" applyFill="1" applyBorder="1" applyAlignment="1">
      <alignment horizontal="left"/>
    </xf>
    <xf numFmtId="165" fontId="33" fillId="57" borderId="38" xfId="163" applyNumberFormat="1" applyFont="1" applyFill="1" applyBorder="1" applyAlignment="1">
      <alignment horizontal="center"/>
    </xf>
    <xf numFmtId="168" fontId="104" fillId="57" borderId="37" xfId="0" applyNumberFormat="1" applyFont="1" applyFill="1" applyBorder="1" applyAlignment="1">
      <alignment horizontal="left"/>
    </xf>
    <xf numFmtId="38" fontId="33" fillId="57" borderId="33" xfId="546" applyNumberFormat="1" applyFont="1" applyFill="1" applyBorder="1" applyAlignment="1">
      <alignment horizontal="center"/>
    </xf>
    <xf numFmtId="38" fontId="33" fillId="57" borderId="28" xfId="546" applyNumberFormat="1" applyFont="1" applyFill="1" applyBorder="1" applyAlignment="1">
      <alignment horizontal="center"/>
    </xf>
    <xf numFmtId="168" fontId="104" fillId="57" borderId="38" xfId="2132" applyFont="1" applyFill="1" applyBorder="1" applyAlignment="1">
      <alignment horizontal="left"/>
    </xf>
    <xf numFmtId="165" fontId="104" fillId="57" borderId="38" xfId="163" applyNumberFormat="1" applyFont="1" applyFill="1" applyBorder="1" applyAlignment="1">
      <alignment horizontal="center"/>
    </xf>
    <xf numFmtId="168" fontId="33" fillId="57" borderId="38" xfId="2132" applyFont="1" applyFill="1" applyBorder="1" applyAlignment="1">
      <alignment horizontal="left"/>
    </xf>
    <xf numFmtId="168" fontId="33" fillId="57" borderId="38" xfId="0" applyNumberFormat="1" applyFont="1" applyFill="1" applyBorder="1" applyAlignment="1">
      <alignment horizontal="left"/>
    </xf>
    <xf numFmtId="168" fontId="104" fillId="57" borderId="37" xfId="0" applyNumberFormat="1" applyFont="1" applyFill="1" applyBorder="1" applyAlignment="1">
      <alignment horizontal="justify"/>
    </xf>
    <xf numFmtId="0" fontId="104" fillId="59" borderId="28" xfId="4886" applyFont="1" applyFill="1" applyBorder="1"/>
    <xf numFmtId="0" fontId="104" fillId="59" borderId="28" xfId="4886" applyFont="1" applyFill="1" applyBorder="1" applyAlignment="1">
      <alignment horizontal="center"/>
    </xf>
    <xf numFmtId="0" fontId="104" fillId="59" borderId="33" xfId="4886" applyFont="1" applyFill="1" applyBorder="1" applyAlignment="1">
      <alignment horizontal="center"/>
    </xf>
    <xf numFmtId="0" fontId="104" fillId="59" borderId="31" xfId="4886" applyFont="1" applyFill="1" applyBorder="1"/>
    <xf numFmtId="0" fontId="104" fillId="59" borderId="31" xfId="4886" applyFont="1" applyFill="1" applyBorder="1" applyAlignment="1">
      <alignment horizontal="center"/>
    </xf>
    <xf numFmtId="0" fontId="104" fillId="59" borderId="32" xfId="4886" applyFont="1" applyFill="1" applyBorder="1" applyAlignment="1">
      <alignment horizontal="center"/>
    </xf>
    <xf numFmtId="0" fontId="33" fillId="57" borderId="33" xfId="4886" applyFont="1" applyFill="1" applyBorder="1"/>
    <xf numFmtId="2" fontId="33" fillId="57" borderId="33" xfId="4886" applyNumberFormat="1" applyFont="1" applyFill="1" applyBorder="1" applyAlignment="1">
      <alignment horizontal="right"/>
    </xf>
    <xf numFmtId="9" fontId="33" fillId="57" borderId="30" xfId="290" applyFont="1" applyFill="1" applyBorder="1" applyAlignment="1">
      <alignment horizontal="center"/>
    </xf>
    <xf numFmtId="0" fontId="104" fillId="57" borderId="35" xfId="4886" applyFont="1" applyFill="1" applyBorder="1"/>
    <xf numFmtId="9" fontId="104" fillId="57" borderId="40" xfId="290" applyFont="1" applyFill="1" applyBorder="1" applyAlignment="1">
      <alignment horizontal="center"/>
    </xf>
    <xf numFmtId="0" fontId="33" fillId="57" borderId="35" xfId="4886" applyFont="1" applyFill="1" applyBorder="1"/>
    <xf numFmtId="0" fontId="104" fillId="24" borderId="37" xfId="932" applyFont="1" applyFill="1" applyBorder="1" applyAlignment="1">
      <alignment horizontal="justify"/>
    </xf>
    <xf numFmtId="9" fontId="33" fillId="57" borderId="40" xfId="290" applyFont="1" applyFill="1" applyBorder="1" applyAlignment="1">
      <alignment horizontal="center"/>
    </xf>
    <xf numFmtId="43" fontId="33" fillId="24" borderId="35" xfId="140" applyFont="1" applyFill="1" applyBorder="1" applyAlignment="1">
      <alignment horizontal="center"/>
    </xf>
    <xf numFmtId="38" fontId="104" fillId="24" borderId="35" xfId="140" applyNumberFormat="1" applyFont="1" applyFill="1" applyBorder="1" applyAlignment="1">
      <alignment horizontal="center"/>
    </xf>
    <xf numFmtId="38" fontId="33" fillId="24" borderId="35" xfId="140" applyNumberFormat="1" applyFont="1" applyFill="1" applyBorder="1" applyAlignment="1">
      <alignment horizontal="center"/>
    </xf>
    <xf numFmtId="38" fontId="104" fillId="24" borderId="36" xfId="140" applyNumberFormat="1" applyFont="1" applyFill="1" applyBorder="1" applyAlignment="1">
      <alignment horizontal="center"/>
    </xf>
    <xf numFmtId="168" fontId="33" fillId="24" borderId="35" xfId="0" applyNumberFormat="1" applyFont="1" applyFill="1" applyBorder="1" applyAlignment="1">
      <alignment horizontal="left"/>
    </xf>
    <xf numFmtId="168" fontId="104" fillId="57" borderId="37" xfId="1082" applyFont="1" applyFill="1" applyBorder="1" applyAlignment="1">
      <alignment horizontal="justify"/>
    </xf>
    <xf numFmtId="9" fontId="104" fillId="57" borderId="43" xfId="290" applyFont="1" applyFill="1" applyBorder="1" applyAlignment="1">
      <alignment horizontal="center"/>
    </xf>
    <xf numFmtId="0" fontId="118" fillId="62" borderId="38" xfId="0" applyFont="1" applyFill="1" applyBorder="1" applyAlignment="1">
      <alignment vertical="center"/>
    </xf>
    <xf numFmtId="0" fontId="118" fillId="64" borderId="38" xfId="0" applyFont="1" applyFill="1" applyBorder="1" applyAlignment="1">
      <alignment horizontal="center" vertical="center"/>
    </xf>
    <xf numFmtId="0" fontId="118" fillId="62" borderId="35" xfId="0" applyFont="1" applyFill="1" applyBorder="1" applyAlignment="1">
      <alignment horizontal="center" vertical="center"/>
    </xf>
    <xf numFmtId="0" fontId="118" fillId="64" borderId="31" xfId="0" applyFont="1" applyFill="1" applyBorder="1" applyAlignment="1">
      <alignment vertical="center"/>
    </xf>
    <xf numFmtId="0" fontId="118" fillId="62" borderId="31" xfId="0" applyFont="1" applyFill="1" applyBorder="1" applyAlignment="1">
      <alignment horizontal="center" vertical="center"/>
    </xf>
    <xf numFmtId="0" fontId="118" fillId="64" borderId="32" xfId="0" applyFont="1" applyFill="1" applyBorder="1" applyAlignment="1">
      <alignment horizontal="center" vertical="center"/>
    </xf>
    <xf numFmtId="0" fontId="119" fillId="63" borderId="35" xfId="0" applyFont="1" applyFill="1" applyBorder="1" applyAlignment="1">
      <alignment vertical="center"/>
    </xf>
    <xf numFmtId="0" fontId="119" fillId="63" borderId="40" xfId="0" applyFont="1" applyFill="1" applyBorder="1" applyAlignment="1">
      <alignment horizontal="center" vertical="center"/>
    </xf>
    <xf numFmtId="0" fontId="118" fillId="63" borderId="35" xfId="0" applyFont="1" applyFill="1" applyBorder="1" applyAlignment="1">
      <alignment vertical="center"/>
    </xf>
    <xf numFmtId="38" fontId="118" fillId="63" borderId="40" xfId="0" applyNumberFormat="1" applyFont="1" applyFill="1" applyBorder="1" applyAlignment="1">
      <alignment horizontal="center" vertical="center"/>
    </xf>
    <xf numFmtId="9" fontId="118" fillId="63" borderId="40" xfId="0" applyNumberFormat="1" applyFont="1" applyFill="1" applyBorder="1" applyAlignment="1">
      <alignment horizontal="center" vertical="center"/>
    </xf>
    <xf numFmtId="38" fontId="119" fillId="63" borderId="40" xfId="0" applyNumberFormat="1" applyFont="1" applyFill="1" applyBorder="1" applyAlignment="1">
      <alignment horizontal="center" vertical="center"/>
    </xf>
    <xf numFmtId="0" fontId="118" fillId="63" borderId="40" xfId="0" applyFont="1" applyFill="1" applyBorder="1" applyAlignment="1">
      <alignment horizontal="center" vertical="center"/>
    </xf>
    <xf numFmtId="168" fontId="33" fillId="24" borderId="32" xfId="0" applyNumberFormat="1" applyFont="1" applyFill="1" applyBorder="1" applyAlignment="1">
      <alignment horizontal="left"/>
    </xf>
    <xf numFmtId="0" fontId="118" fillId="63" borderId="31" xfId="0" applyFont="1" applyFill="1" applyBorder="1" applyAlignment="1">
      <alignment vertical="center"/>
    </xf>
    <xf numFmtId="38" fontId="118" fillId="63" borderId="36" xfId="0" applyNumberFormat="1" applyFont="1" applyFill="1" applyBorder="1" applyAlignment="1">
      <alignment horizontal="center" vertical="center"/>
    </xf>
    <xf numFmtId="9" fontId="118" fillId="63" borderId="43" xfId="0" applyNumberFormat="1" applyFont="1" applyFill="1" applyBorder="1" applyAlignment="1">
      <alignment horizontal="center" vertical="center"/>
    </xf>
    <xf numFmtId="0" fontId="119" fillId="63" borderId="35" xfId="0" applyFont="1" applyFill="1" applyBorder="1" applyAlignment="1">
      <alignment horizontal="center" vertical="center"/>
    </xf>
    <xf numFmtId="0" fontId="118" fillId="63" borderId="38" xfId="0" applyFont="1" applyFill="1" applyBorder="1" applyAlignment="1">
      <alignment vertical="center"/>
    </xf>
    <xf numFmtId="0" fontId="119" fillId="63" borderId="38" xfId="0" applyFont="1" applyFill="1" applyBorder="1" applyAlignment="1">
      <alignment vertical="center"/>
    </xf>
    <xf numFmtId="3" fontId="119" fillId="63" borderId="35" xfId="0" applyNumberFormat="1" applyFont="1" applyFill="1" applyBorder="1" applyAlignment="1">
      <alignment horizontal="center" vertical="center"/>
    </xf>
    <xf numFmtId="9" fontId="119" fillId="63" borderId="40" xfId="0" applyNumberFormat="1" applyFont="1" applyFill="1" applyBorder="1" applyAlignment="1">
      <alignment horizontal="center" vertical="center"/>
    </xf>
    <xf numFmtId="0" fontId="104" fillId="59" borderId="28" xfId="555" applyFont="1" applyFill="1" applyBorder="1" applyAlignment="1">
      <alignment horizontal="center"/>
    </xf>
    <xf numFmtId="168" fontId="104" fillId="65" borderId="31" xfId="555" applyNumberFormat="1" applyFont="1" applyFill="1" applyBorder="1"/>
    <xf numFmtId="168" fontId="104" fillId="65" borderId="31" xfId="555" applyNumberFormat="1" applyFont="1" applyFill="1" applyBorder="1" applyAlignment="1">
      <alignment horizontal="center"/>
    </xf>
    <xf numFmtId="168" fontId="104" fillId="65" borderId="32" xfId="555" applyNumberFormat="1" applyFont="1" applyFill="1" applyBorder="1" applyAlignment="1">
      <alignment horizontal="center"/>
    </xf>
    <xf numFmtId="168" fontId="104" fillId="60" borderId="38" xfId="555" applyNumberFormat="1" applyFont="1" applyFill="1" applyBorder="1" applyAlignment="1">
      <alignment horizontal="left"/>
    </xf>
    <xf numFmtId="43" fontId="33" fillId="60" borderId="38" xfId="2141" applyFont="1" applyFill="1" applyBorder="1" applyAlignment="1">
      <alignment horizontal="center"/>
    </xf>
    <xf numFmtId="43" fontId="33" fillId="60" borderId="35" xfId="2141" applyFont="1" applyFill="1" applyBorder="1" applyAlignment="1">
      <alignment horizontal="center"/>
    </xf>
    <xf numFmtId="38" fontId="104" fillId="60" borderId="38" xfId="2141" applyNumberFormat="1" applyFont="1" applyFill="1" applyBorder="1" applyAlignment="1">
      <alignment horizontal="center"/>
    </xf>
    <xf numFmtId="38" fontId="104" fillId="60" borderId="35" xfId="2141" applyNumberFormat="1" applyFont="1" applyFill="1" applyBorder="1" applyAlignment="1">
      <alignment horizontal="center"/>
    </xf>
    <xf numFmtId="168" fontId="33" fillId="60" borderId="38" xfId="555" applyNumberFormat="1" applyFont="1" applyFill="1" applyBorder="1" applyAlignment="1">
      <alignment horizontal="left"/>
    </xf>
    <xf numFmtId="38" fontId="104" fillId="60" borderId="36" xfId="2141" applyNumberFormat="1" applyFont="1" applyFill="1" applyBorder="1" applyAlignment="1">
      <alignment horizontal="center"/>
    </xf>
    <xf numFmtId="168" fontId="104" fillId="0" borderId="37" xfId="555" applyNumberFormat="1" applyFont="1" applyBorder="1" applyAlignment="1">
      <alignment horizontal="left"/>
    </xf>
    <xf numFmtId="38" fontId="33" fillId="0" borderId="35" xfId="2141" applyNumberFormat="1" applyFont="1" applyBorder="1" applyAlignment="1">
      <alignment horizontal="center"/>
    </xf>
    <xf numFmtId="38" fontId="33" fillId="60" borderId="38" xfId="2141" applyNumberFormat="1" applyFont="1" applyFill="1" applyBorder="1" applyAlignment="1">
      <alignment horizontal="center"/>
    </xf>
    <xf numFmtId="38" fontId="33" fillId="60" borderId="35" xfId="2141" applyNumberFormat="1" applyFont="1" applyFill="1" applyBorder="1" applyAlignment="1">
      <alignment horizontal="center"/>
    </xf>
    <xf numFmtId="3" fontId="118" fillId="63" borderId="35" xfId="0" applyNumberFormat="1" applyFont="1" applyFill="1" applyBorder="1" applyAlignment="1">
      <alignment horizontal="center" vertical="center"/>
    </xf>
    <xf numFmtId="0" fontId="118" fillId="63" borderId="35" xfId="0" applyFont="1" applyFill="1" applyBorder="1" applyAlignment="1">
      <alignment horizontal="center" vertical="center"/>
    </xf>
    <xf numFmtId="38" fontId="106" fillId="60" borderId="38" xfId="2141" applyNumberFormat="1" applyFont="1" applyFill="1" applyBorder="1" applyAlignment="1">
      <alignment horizontal="center"/>
    </xf>
    <xf numFmtId="9" fontId="106" fillId="60" borderId="35" xfId="544" applyFont="1" applyFill="1" applyBorder="1" applyAlignment="1">
      <alignment horizontal="center"/>
    </xf>
    <xf numFmtId="0" fontId="118" fillId="63" borderId="37" xfId="0" applyFont="1" applyFill="1" applyBorder="1" applyAlignment="1">
      <alignment horizontal="justify" vertical="center"/>
    </xf>
    <xf numFmtId="3" fontId="118" fillId="63" borderId="36" xfId="0" applyNumberFormat="1" applyFont="1" applyFill="1" applyBorder="1" applyAlignment="1">
      <alignment horizontal="center" vertical="center"/>
    </xf>
    <xf numFmtId="0" fontId="104" fillId="59" borderId="28" xfId="34686" applyFont="1" applyFill="1" applyBorder="1" applyAlignment="1">
      <alignment horizontal="center"/>
    </xf>
    <xf numFmtId="168" fontId="104" fillId="65" borderId="31" xfId="34686" applyNumberFormat="1" applyFont="1" applyFill="1" applyBorder="1"/>
    <xf numFmtId="168" fontId="104" fillId="65" borderId="31" xfId="34686" applyNumberFormat="1" applyFont="1" applyFill="1" applyBorder="1" applyAlignment="1">
      <alignment horizontal="center"/>
    </xf>
    <xf numFmtId="168" fontId="104" fillId="65" borderId="32" xfId="34686" applyNumberFormat="1" applyFont="1" applyFill="1" applyBorder="1" applyAlignment="1">
      <alignment horizontal="center"/>
    </xf>
    <xf numFmtId="168" fontId="104" fillId="60" borderId="38" xfId="34686" applyNumberFormat="1" applyFont="1" applyFill="1" applyBorder="1" applyAlignment="1">
      <alignment horizontal="left"/>
    </xf>
    <xf numFmtId="43" fontId="33" fillId="60" borderId="38" xfId="34681" applyFont="1" applyFill="1" applyBorder="1" applyAlignment="1">
      <alignment horizontal="center"/>
    </xf>
    <xf numFmtId="43" fontId="33" fillId="60" borderId="35" xfId="34681" applyFont="1" applyFill="1" applyBorder="1" applyAlignment="1">
      <alignment horizontal="center"/>
    </xf>
    <xf numFmtId="9" fontId="104" fillId="60" borderId="35" xfId="2074" applyNumberFormat="1" applyFont="1" applyFill="1" applyBorder="1" applyAlignment="1">
      <alignment horizontal="center"/>
    </xf>
    <xf numFmtId="38" fontId="104" fillId="60" borderId="38" xfId="34681" applyNumberFormat="1" applyFont="1" applyFill="1" applyBorder="1" applyAlignment="1">
      <alignment horizontal="center"/>
    </xf>
    <xf numFmtId="168" fontId="104" fillId="0" borderId="37" xfId="555" applyNumberFormat="1" applyFont="1" applyBorder="1" applyAlignment="1">
      <alignment horizontal="justify"/>
    </xf>
    <xf numFmtId="38" fontId="104" fillId="0" borderId="36" xfId="2141" applyNumberFormat="1" applyFont="1" applyBorder="1" applyAlignment="1">
      <alignment horizontal="center"/>
    </xf>
    <xf numFmtId="168" fontId="33" fillId="60" borderId="38" xfId="34686" applyNumberFormat="1" applyFont="1" applyFill="1" applyBorder="1" applyAlignment="1">
      <alignment horizontal="left"/>
    </xf>
    <xf numFmtId="38" fontId="33" fillId="60" borderId="38" xfId="34681" applyNumberFormat="1" applyFont="1" applyFill="1" applyBorder="1" applyAlignment="1">
      <alignment horizontal="center"/>
    </xf>
    <xf numFmtId="9" fontId="104" fillId="60" borderId="36" xfId="2074" applyNumberFormat="1" applyFont="1" applyFill="1" applyBorder="1" applyAlignment="1">
      <alignment horizontal="center"/>
    </xf>
    <xf numFmtId="168" fontId="104" fillId="0" borderId="37" xfId="34686" applyNumberFormat="1" applyFont="1" applyBorder="1" applyAlignment="1">
      <alignment horizontal="left"/>
    </xf>
    <xf numFmtId="37" fontId="33" fillId="0" borderId="35" xfId="34681" applyNumberFormat="1" applyFont="1" applyBorder="1" applyAlignment="1">
      <alignment horizontal="center"/>
    </xf>
    <xf numFmtId="168" fontId="104" fillId="0" borderId="38" xfId="34686" applyNumberFormat="1" applyFont="1" applyBorder="1" applyAlignment="1">
      <alignment horizontal="left"/>
    </xf>
    <xf numFmtId="0" fontId="119" fillId="62" borderId="38" xfId="0" applyFont="1" applyFill="1" applyBorder="1" applyAlignment="1">
      <alignment vertical="center"/>
    </xf>
    <xf numFmtId="37" fontId="33" fillId="60" borderId="38" xfId="34681" applyNumberFormat="1" applyFont="1" applyFill="1" applyBorder="1" applyAlignment="1">
      <alignment horizontal="center"/>
    </xf>
    <xf numFmtId="37" fontId="33" fillId="60" borderId="35" xfId="34681" applyNumberFormat="1" applyFont="1" applyFill="1" applyBorder="1" applyAlignment="1">
      <alignment horizontal="center"/>
    </xf>
    <xf numFmtId="0" fontId="119" fillId="62" borderId="31" xfId="0" applyFont="1" applyFill="1" applyBorder="1" applyAlignment="1">
      <alignment vertical="center"/>
    </xf>
    <xf numFmtId="0" fontId="118" fillId="62" borderId="32" xfId="0" applyFont="1" applyFill="1" applyBorder="1" applyAlignment="1">
      <alignment horizontal="center" vertical="center"/>
    </xf>
    <xf numFmtId="9" fontId="33" fillId="60" borderId="35" xfId="2074" applyNumberFormat="1" applyFont="1" applyFill="1" applyBorder="1" applyAlignment="1">
      <alignment horizontal="center"/>
    </xf>
    <xf numFmtId="38" fontId="104" fillId="63" borderId="40" xfId="0" applyNumberFormat="1" applyFont="1" applyFill="1" applyBorder="1" applyAlignment="1">
      <alignment horizontal="center" vertical="center"/>
    </xf>
    <xf numFmtId="38" fontId="33" fillId="63" borderId="40" xfId="0" applyNumberFormat="1" applyFont="1" applyFill="1" applyBorder="1" applyAlignment="1">
      <alignment horizontal="center" vertical="center"/>
    </xf>
    <xf numFmtId="38" fontId="104" fillId="63" borderId="36" xfId="0" applyNumberFormat="1" applyFont="1" applyFill="1" applyBorder="1" applyAlignment="1">
      <alignment horizontal="center" vertical="center"/>
    </xf>
    <xf numFmtId="38" fontId="119" fillId="63" borderId="35" xfId="0" applyNumberFormat="1" applyFont="1" applyFill="1" applyBorder="1" applyAlignment="1">
      <alignment horizontal="center" vertical="center"/>
    </xf>
    <xf numFmtId="37" fontId="104" fillId="60" borderId="38" xfId="34681" applyNumberFormat="1" applyFont="1" applyFill="1" applyBorder="1" applyAlignment="1">
      <alignment horizontal="center"/>
    </xf>
    <xf numFmtId="38" fontId="118" fillId="63" borderId="35" xfId="0" applyNumberFormat="1" applyFont="1" applyFill="1" applyBorder="1" applyAlignment="1">
      <alignment horizontal="center" vertical="center"/>
    </xf>
    <xf numFmtId="168" fontId="104" fillId="0" borderId="37" xfId="34686" applyNumberFormat="1" applyFont="1" applyBorder="1" applyAlignment="1">
      <alignment horizontal="justify"/>
    </xf>
    <xf numFmtId="37" fontId="104" fillId="0" borderId="36" xfId="34681" applyNumberFormat="1" applyFont="1" applyBorder="1" applyAlignment="1">
      <alignment horizontal="center"/>
    </xf>
    <xf numFmtId="0" fontId="104" fillId="59" borderId="28" xfId="2135" applyFont="1" applyFill="1" applyBorder="1"/>
    <xf numFmtId="0" fontId="104" fillId="59" borderId="28" xfId="2136" applyFont="1" applyFill="1" applyBorder="1" applyAlignment="1">
      <alignment horizontal="center"/>
    </xf>
    <xf numFmtId="0" fontId="104" fillId="59" borderId="33" xfId="2135" applyFont="1" applyFill="1" applyBorder="1" applyAlignment="1">
      <alignment horizontal="center"/>
    </xf>
    <xf numFmtId="0" fontId="104" fillId="59" borderId="31" xfId="2135" applyFont="1" applyFill="1" applyBorder="1"/>
    <xf numFmtId="0" fontId="104" fillId="59" borderId="31" xfId="2135" applyFont="1" applyFill="1" applyBorder="1" applyAlignment="1">
      <alignment horizontal="center"/>
    </xf>
    <xf numFmtId="0" fontId="104" fillId="59" borderId="32" xfId="2135" applyFont="1" applyFill="1" applyBorder="1" applyAlignment="1">
      <alignment horizontal="center"/>
    </xf>
    <xf numFmtId="0" fontId="104" fillId="24" borderId="35" xfId="932" applyFont="1" applyFill="1" applyBorder="1"/>
    <xf numFmtId="43" fontId="33" fillId="0" borderId="35" xfId="546" applyFont="1" applyBorder="1" applyAlignment="1">
      <alignment horizontal="center"/>
    </xf>
    <xf numFmtId="9" fontId="104" fillId="24" borderId="33" xfId="544" applyFont="1" applyFill="1" applyBorder="1" applyAlignment="1">
      <alignment horizontal="center"/>
    </xf>
    <xf numFmtId="9" fontId="104" fillId="24" borderId="35" xfId="544" applyFont="1" applyFill="1" applyBorder="1" applyAlignment="1">
      <alignment horizontal="center"/>
    </xf>
    <xf numFmtId="0" fontId="33" fillId="24" borderId="35" xfId="932" applyFont="1" applyFill="1" applyBorder="1"/>
    <xf numFmtId="9" fontId="104" fillId="24" borderId="36" xfId="544" applyFont="1" applyFill="1" applyBorder="1" applyAlignment="1">
      <alignment horizontal="center"/>
    </xf>
    <xf numFmtId="0" fontId="104" fillId="0" borderId="37" xfId="2135" applyFont="1" applyBorder="1" applyAlignment="1">
      <alignment horizontal="left"/>
    </xf>
    <xf numFmtId="40" fontId="33" fillId="0" borderId="35" xfId="546" applyNumberFormat="1" applyFont="1" applyBorder="1" applyAlignment="1">
      <alignment horizontal="center"/>
    </xf>
    <xf numFmtId="9" fontId="33" fillId="24" borderId="35" xfId="544" applyFont="1" applyFill="1" applyBorder="1" applyAlignment="1">
      <alignment horizontal="center"/>
    </xf>
    <xf numFmtId="0" fontId="104" fillId="0" borderId="37" xfId="2135" applyFont="1" applyBorder="1" applyAlignment="1">
      <alignment horizontal="justify"/>
    </xf>
    <xf numFmtId="168" fontId="33" fillId="61" borderId="28" xfId="2140" applyNumberFormat="1" applyFont="1" applyFill="1" applyBorder="1"/>
    <xf numFmtId="168" fontId="104" fillId="61" borderId="33" xfId="2140" applyNumberFormat="1" applyFont="1" applyFill="1" applyBorder="1" applyAlignment="1">
      <alignment horizontal="center"/>
    </xf>
    <xf numFmtId="168" fontId="33" fillId="61" borderId="31" xfId="2140" applyNumberFormat="1" applyFont="1" applyFill="1" applyBorder="1"/>
    <xf numFmtId="168" fontId="104" fillId="61" borderId="31" xfId="2140" applyNumberFormat="1" applyFont="1" applyFill="1" applyBorder="1" applyAlignment="1">
      <alignment horizontal="center"/>
    </xf>
    <xf numFmtId="168" fontId="104" fillId="61" borderId="32" xfId="2140" applyNumberFormat="1" applyFont="1" applyFill="1" applyBorder="1" applyAlignment="1">
      <alignment horizontal="center"/>
    </xf>
    <xf numFmtId="168" fontId="104" fillId="61" borderId="31" xfId="550" applyNumberFormat="1" applyFont="1" applyFill="1" applyBorder="1"/>
    <xf numFmtId="168" fontId="104" fillId="61" borderId="31" xfId="550" applyNumberFormat="1" applyFont="1" applyFill="1" applyBorder="1" applyAlignment="1">
      <alignment horizontal="center"/>
    </xf>
    <xf numFmtId="168" fontId="104" fillId="61" borderId="32" xfId="550" applyNumberFormat="1" applyFont="1" applyFill="1" applyBorder="1" applyAlignment="1">
      <alignment horizontal="center"/>
    </xf>
    <xf numFmtId="0" fontId="33" fillId="0" borderId="28" xfId="2140" applyFont="1" applyBorder="1"/>
    <xf numFmtId="43" fontId="33" fillId="0" borderId="35" xfId="163" applyFont="1" applyBorder="1" applyAlignment="1">
      <alignment horizontal="center"/>
    </xf>
    <xf numFmtId="9" fontId="33" fillId="0" borderId="30" xfId="290" applyFont="1" applyBorder="1" applyAlignment="1">
      <alignment horizontal="center"/>
    </xf>
    <xf numFmtId="168" fontId="104" fillId="60" borderId="33" xfId="550" applyNumberFormat="1" applyFont="1" applyFill="1" applyBorder="1"/>
    <xf numFmtId="9" fontId="104" fillId="60" borderId="30" xfId="290" applyFont="1" applyFill="1" applyBorder="1" applyAlignment="1">
      <alignment horizontal="center"/>
    </xf>
    <xf numFmtId="0" fontId="104" fillId="24" borderId="35" xfId="2140" applyFont="1" applyFill="1" applyBorder="1"/>
    <xf numFmtId="9" fontId="104" fillId="24" borderId="40" xfId="290" applyFont="1" applyFill="1" applyBorder="1" applyAlignment="1">
      <alignment horizontal="center"/>
    </xf>
    <xf numFmtId="168" fontId="104" fillId="60" borderId="35" xfId="550" applyNumberFormat="1" applyFont="1" applyFill="1" applyBorder="1"/>
    <xf numFmtId="38" fontId="104" fillId="60" borderId="35" xfId="163" applyNumberFormat="1" applyFont="1" applyFill="1" applyBorder="1" applyAlignment="1">
      <alignment horizontal="center"/>
    </xf>
    <xf numFmtId="9" fontId="104" fillId="60" borderId="40" xfId="290" applyFont="1" applyFill="1" applyBorder="1" applyAlignment="1">
      <alignment horizontal="center"/>
    </xf>
    <xf numFmtId="0" fontId="104" fillId="0" borderId="38" xfId="2140" applyFont="1" applyBorder="1"/>
    <xf numFmtId="38" fontId="104" fillId="0" borderId="35" xfId="163" applyNumberFormat="1" applyFont="1" applyBorder="1" applyAlignment="1">
      <alignment horizontal="center"/>
    </xf>
    <xf numFmtId="168" fontId="33" fillId="60" borderId="35" xfId="550" applyNumberFormat="1" applyFont="1" applyFill="1" applyBorder="1"/>
    <xf numFmtId="38" fontId="33" fillId="60" borderId="35" xfId="163" applyNumberFormat="1" applyFont="1" applyFill="1" applyBorder="1" applyAlignment="1">
      <alignment horizontal="center"/>
    </xf>
    <xf numFmtId="0" fontId="33" fillId="24" borderId="35" xfId="2140" applyFont="1" applyFill="1" applyBorder="1"/>
    <xf numFmtId="38" fontId="104" fillId="60" borderId="40" xfId="163" applyNumberFormat="1" applyFont="1" applyFill="1" applyBorder="1" applyAlignment="1">
      <alignment horizontal="center"/>
    </xf>
    <xf numFmtId="9" fontId="104" fillId="24" borderId="43" xfId="290" applyFont="1" applyFill="1" applyBorder="1" applyAlignment="1">
      <alignment horizontal="center"/>
    </xf>
    <xf numFmtId="38" fontId="33" fillId="60" borderId="40" xfId="163" applyNumberFormat="1" applyFont="1" applyFill="1" applyBorder="1" applyAlignment="1">
      <alignment horizontal="center"/>
    </xf>
    <xf numFmtId="0" fontId="104" fillId="0" borderId="36" xfId="2140" applyFont="1" applyBorder="1" applyAlignment="1">
      <alignment horizontal="left"/>
    </xf>
    <xf numFmtId="38" fontId="33" fillId="0" borderId="35" xfId="163" applyNumberFormat="1" applyFont="1" applyBorder="1" applyAlignment="1">
      <alignment horizontal="center"/>
    </xf>
    <xf numFmtId="38" fontId="104" fillId="60" borderId="36" xfId="163" applyNumberFormat="1" applyFont="1" applyFill="1" applyBorder="1" applyAlignment="1">
      <alignment horizontal="center"/>
    </xf>
    <xf numFmtId="9" fontId="104" fillId="60" borderId="43" xfId="290" applyFont="1" applyFill="1" applyBorder="1" applyAlignment="1">
      <alignment horizontal="center"/>
    </xf>
    <xf numFmtId="0" fontId="104" fillId="0" borderId="38" xfId="2140" applyFont="1" applyBorder="1" applyAlignment="1">
      <alignment horizontal="left"/>
    </xf>
    <xf numFmtId="40" fontId="104" fillId="60" borderId="38" xfId="546" applyNumberFormat="1" applyFont="1" applyFill="1" applyBorder="1" applyAlignment="1">
      <alignment horizontal="center"/>
    </xf>
    <xf numFmtId="40" fontId="104" fillId="60" borderId="35" xfId="546" applyNumberFormat="1" applyFont="1" applyFill="1" applyBorder="1" applyAlignment="1">
      <alignment horizontal="center"/>
    </xf>
    <xf numFmtId="9" fontId="33" fillId="0" borderId="40" xfId="290" applyFont="1" applyBorder="1" applyAlignment="1">
      <alignment horizontal="center"/>
    </xf>
    <xf numFmtId="168" fontId="104" fillId="60" borderId="37" xfId="550" applyNumberFormat="1" applyFont="1" applyFill="1" applyBorder="1" applyAlignment="1">
      <alignment horizontal="left"/>
    </xf>
    <xf numFmtId="38" fontId="33" fillId="60" borderId="33" xfId="163" applyNumberFormat="1" applyFont="1" applyFill="1" applyBorder="1" applyAlignment="1">
      <alignment horizontal="center"/>
    </xf>
    <xf numFmtId="38" fontId="33" fillId="24" borderId="35" xfId="163" applyNumberFormat="1" applyFont="1" applyFill="1" applyBorder="1" applyAlignment="1">
      <alignment horizontal="center"/>
    </xf>
    <xf numFmtId="40" fontId="33" fillId="24" borderId="35" xfId="163" applyNumberFormat="1" applyFont="1" applyFill="1" applyBorder="1" applyAlignment="1">
      <alignment horizontal="right"/>
    </xf>
    <xf numFmtId="168" fontId="104" fillId="60" borderId="38" xfId="550" applyNumberFormat="1" applyFont="1" applyFill="1" applyBorder="1" applyAlignment="1">
      <alignment horizontal="left"/>
    </xf>
    <xf numFmtId="168" fontId="33" fillId="24" borderId="38" xfId="552" applyFont="1" applyFill="1" applyBorder="1" applyAlignment="1">
      <alignment horizontal="left"/>
    </xf>
    <xf numFmtId="9" fontId="33" fillId="24" borderId="35" xfId="290" applyFont="1" applyFill="1" applyBorder="1" applyAlignment="1">
      <alignment horizontal="center"/>
    </xf>
    <xf numFmtId="168" fontId="33" fillId="60" borderId="38" xfId="550" applyNumberFormat="1" applyFont="1" applyFill="1" applyBorder="1" applyAlignment="1">
      <alignment horizontal="left"/>
    </xf>
    <xf numFmtId="9" fontId="33" fillId="60" borderId="40" xfId="290" applyFont="1" applyFill="1" applyBorder="1" applyAlignment="1">
      <alignment horizontal="center"/>
    </xf>
    <xf numFmtId="38" fontId="33" fillId="24" borderId="38" xfId="163" applyNumberFormat="1" applyFont="1" applyFill="1" applyBorder="1" applyAlignment="1">
      <alignment horizontal="center"/>
    </xf>
    <xf numFmtId="168" fontId="106" fillId="24" borderId="38" xfId="552" applyFont="1" applyFill="1" applyBorder="1" applyAlignment="1">
      <alignment horizontal="left" indent="2"/>
    </xf>
    <xf numFmtId="38" fontId="106" fillId="24" borderId="38" xfId="163" applyNumberFormat="1" applyFont="1" applyFill="1" applyBorder="1" applyAlignment="1">
      <alignment horizontal="center"/>
    </xf>
    <xf numFmtId="9" fontId="106" fillId="24" borderId="35" xfId="290" applyFont="1" applyFill="1" applyBorder="1" applyAlignment="1">
      <alignment horizontal="center"/>
    </xf>
    <xf numFmtId="168" fontId="104" fillId="24" borderId="38" xfId="552" applyFont="1" applyFill="1" applyBorder="1" applyAlignment="1">
      <alignment horizontal="left"/>
    </xf>
    <xf numFmtId="38" fontId="104" fillId="24" borderId="38" xfId="163" applyNumberFormat="1" applyFont="1" applyFill="1" applyBorder="1" applyAlignment="1">
      <alignment horizontal="center"/>
    </xf>
    <xf numFmtId="9" fontId="104" fillId="24" borderId="35" xfId="290" applyFont="1" applyFill="1" applyBorder="1" applyAlignment="1">
      <alignment horizontal="center"/>
    </xf>
    <xf numFmtId="38" fontId="104" fillId="24" borderId="38" xfId="552" applyNumberFormat="1" applyFont="1" applyFill="1" applyBorder="1" applyAlignment="1">
      <alignment horizontal="center"/>
    </xf>
    <xf numFmtId="38" fontId="104" fillId="24" borderId="35" xfId="163" applyNumberFormat="1" applyFont="1" applyFill="1" applyBorder="1" applyAlignment="1">
      <alignment horizontal="center"/>
    </xf>
    <xf numFmtId="0" fontId="104" fillId="0" borderId="37" xfId="2140" applyFont="1" applyBorder="1" applyAlignment="1">
      <alignment horizontal="justify"/>
    </xf>
    <xf numFmtId="38" fontId="104" fillId="0" borderId="36" xfId="163" applyNumberFormat="1" applyFont="1" applyBorder="1" applyAlignment="1">
      <alignment horizontal="center"/>
    </xf>
    <xf numFmtId="9" fontId="104" fillId="24" borderId="36" xfId="290" applyFont="1" applyFill="1" applyBorder="1" applyAlignment="1">
      <alignment horizontal="center"/>
    </xf>
    <xf numFmtId="43" fontId="104" fillId="24" borderId="35" xfId="376" applyFont="1" applyFill="1" applyBorder="1" applyAlignment="1">
      <alignment horizontal="center"/>
    </xf>
    <xf numFmtId="38" fontId="104" fillId="24" borderId="35" xfId="376" applyNumberFormat="1" applyFont="1" applyFill="1" applyBorder="1" applyAlignment="1">
      <alignment horizontal="center"/>
    </xf>
    <xf numFmtId="43" fontId="33" fillId="60" borderId="38" xfId="546" applyFont="1" applyFill="1" applyBorder="1" applyAlignment="1">
      <alignment horizontal="center"/>
    </xf>
    <xf numFmtId="43" fontId="33" fillId="60" borderId="35" xfId="546" applyFont="1" applyFill="1" applyBorder="1" applyAlignment="1">
      <alignment horizontal="center"/>
    </xf>
    <xf numFmtId="38" fontId="33" fillId="24" borderId="35" xfId="376" applyNumberFormat="1" applyFont="1" applyFill="1" applyBorder="1" applyAlignment="1">
      <alignment horizontal="center"/>
    </xf>
    <xf numFmtId="40" fontId="33" fillId="60" borderId="38" xfId="546" applyNumberFormat="1" applyFont="1" applyFill="1" applyBorder="1" applyAlignment="1">
      <alignment horizontal="center"/>
    </xf>
    <xf numFmtId="38" fontId="104" fillId="24" borderId="36" xfId="376" applyNumberFormat="1" applyFont="1" applyFill="1" applyBorder="1" applyAlignment="1">
      <alignment horizontal="center"/>
    </xf>
    <xf numFmtId="38" fontId="104" fillId="24" borderId="33" xfId="376" applyNumberFormat="1" applyFont="1" applyFill="1" applyBorder="1" applyAlignment="1">
      <alignment horizontal="center"/>
    </xf>
    <xf numFmtId="40" fontId="104" fillId="60" borderId="36" xfId="546" applyNumberFormat="1" applyFont="1" applyFill="1" applyBorder="1" applyAlignment="1">
      <alignment horizontal="center"/>
    </xf>
    <xf numFmtId="168" fontId="106" fillId="0" borderId="37" xfId="555" applyNumberFormat="1" applyFont="1" applyBorder="1" applyAlignment="1">
      <alignment horizontal="left"/>
    </xf>
    <xf numFmtId="0" fontId="33" fillId="57" borderId="38" xfId="932" applyFont="1" applyFill="1" applyBorder="1" applyAlignment="1">
      <alignment horizontal="left"/>
    </xf>
    <xf numFmtId="40" fontId="33" fillId="60" borderId="35" xfId="546" applyNumberFormat="1" applyFont="1" applyFill="1" applyBorder="1" applyAlignment="1">
      <alignment horizontal="center"/>
    </xf>
    <xf numFmtId="0" fontId="104" fillId="57" borderId="38" xfId="932" applyFont="1" applyFill="1" applyBorder="1" applyAlignment="1">
      <alignment horizontal="left"/>
    </xf>
    <xf numFmtId="40" fontId="104" fillId="0" borderId="36" xfId="546" applyNumberFormat="1" applyFont="1" applyBorder="1" applyAlignment="1">
      <alignment horizontal="center"/>
    </xf>
    <xf numFmtId="0" fontId="104" fillId="57" borderId="37" xfId="932" applyFont="1" applyFill="1" applyBorder="1" applyAlignment="1">
      <alignment horizontal="left"/>
    </xf>
    <xf numFmtId="2" fontId="104" fillId="60" borderId="29" xfId="550" applyNumberFormat="1" applyFont="1" applyFill="1" applyBorder="1" applyAlignment="1">
      <alignment horizontal="right"/>
    </xf>
    <xf numFmtId="38" fontId="33" fillId="0" borderId="35" xfId="34681" applyNumberFormat="1" applyFont="1" applyBorder="1" applyAlignment="1">
      <alignment horizontal="center"/>
    </xf>
    <xf numFmtId="38" fontId="33" fillId="0" borderId="38" xfId="34681" applyNumberFormat="1" applyFont="1" applyBorder="1" applyAlignment="1">
      <alignment horizontal="center"/>
    </xf>
    <xf numFmtId="168" fontId="33" fillId="25" borderId="31" xfId="0" applyNumberFormat="1" applyFont="1" applyFill="1" applyBorder="1"/>
    <xf numFmtId="168" fontId="104" fillId="25" borderId="31" xfId="0" applyNumberFormat="1" applyFont="1" applyFill="1" applyBorder="1" applyAlignment="1">
      <alignment horizontal="center"/>
    </xf>
    <xf numFmtId="168" fontId="104" fillId="25" borderId="32" xfId="0" applyNumberFormat="1" applyFont="1" applyFill="1" applyBorder="1" applyAlignment="1">
      <alignment horizontal="center"/>
    </xf>
    <xf numFmtId="168" fontId="104" fillId="24" borderId="33" xfId="0" applyNumberFormat="1" applyFont="1" applyFill="1" applyBorder="1"/>
    <xf numFmtId="165" fontId="104" fillId="24" borderId="33" xfId="2142" applyNumberFormat="1" applyFont="1" applyFill="1" applyBorder="1" applyAlignment="1">
      <alignment horizontal="right"/>
    </xf>
    <xf numFmtId="165" fontId="104" fillId="24" borderId="30" xfId="2142" applyNumberFormat="1" applyFont="1" applyFill="1" applyBorder="1" applyAlignment="1">
      <alignment horizontal="right"/>
    </xf>
    <xf numFmtId="9" fontId="104" fillId="24" borderId="33" xfId="290" applyFont="1" applyFill="1" applyBorder="1" applyAlignment="1">
      <alignment horizontal="center"/>
    </xf>
    <xf numFmtId="168" fontId="104" fillId="24" borderId="35" xfId="0" applyNumberFormat="1" applyFont="1" applyFill="1" applyBorder="1"/>
    <xf numFmtId="38" fontId="104" fillId="24" borderId="35" xfId="2142" applyNumberFormat="1" applyFont="1" applyFill="1" applyBorder="1" applyAlignment="1">
      <alignment horizontal="center"/>
    </xf>
    <xf numFmtId="38" fontId="104" fillId="57" borderId="35" xfId="2142" applyNumberFormat="1" applyFont="1" applyFill="1" applyBorder="1" applyAlignment="1">
      <alignment horizontal="center"/>
    </xf>
    <xf numFmtId="168" fontId="33" fillId="24" borderId="35" xfId="0" applyNumberFormat="1" applyFont="1" applyFill="1" applyBorder="1"/>
    <xf numFmtId="38" fontId="33" fillId="24" borderId="35" xfId="2142" applyNumberFormat="1" applyFont="1" applyFill="1" applyBorder="1" applyAlignment="1">
      <alignment horizontal="center"/>
    </xf>
    <xf numFmtId="168" fontId="104" fillId="24" borderId="31" xfId="0" applyNumberFormat="1" applyFont="1" applyFill="1" applyBorder="1"/>
    <xf numFmtId="38" fontId="104" fillId="24" borderId="36" xfId="2142" applyNumberFormat="1" applyFont="1" applyFill="1" applyBorder="1" applyAlignment="1">
      <alignment horizontal="center"/>
    </xf>
    <xf numFmtId="168" fontId="104" fillId="24" borderId="37" xfId="0" applyNumberFormat="1" applyFont="1" applyFill="1" applyBorder="1" applyAlignment="1">
      <alignment horizontal="left"/>
    </xf>
    <xf numFmtId="38" fontId="33" fillId="24" borderId="33" xfId="2142" applyNumberFormat="1" applyFont="1" applyFill="1" applyBorder="1" applyAlignment="1">
      <alignment horizontal="center"/>
    </xf>
    <xf numFmtId="168" fontId="104" fillId="24" borderId="38" xfId="0" applyNumberFormat="1" applyFont="1" applyFill="1" applyBorder="1" applyAlignment="1">
      <alignment horizontal="left"/>
    </xf>
    <xf numFmtId="38" fontId="33" fillId="57" borderId="35" xfId="163" applyNumberFormat="1" applyFont="1" applyFill="1" applyBorder="1" applyAlignment="1">
      <alignment horizontal="center"/>
    </xf>
    <xf numFmtId="38" fontId="104" fillId="57" borderId="35" xfId="163" applyNumberFormat="1" applyFont="1" applyFill="1" applyBorder="1" applyAlignment="1">
      <alignment horizontal="center"/>
    </xf>
    <xf numFmtId="168" fontId="104" fillId="24" borderId="37" xfId="0" applyNumberFormat="1" applyFont="1" applyFill="1" applyBorder="1" applyAlignment="1">
      <alignment horizontal="justify"/>
    </xf>
    <xf numFmtId="0" fontId="104" fillId="0" borderId="38" xfId="1611" applyFont="1" applyBorder="1" applyAlignment="1">
      <alignment horizontal="left"/>
    </xf>
    <xf numFmtId="0" fontId="104" fillId="59" borderId="28" xfId="550" applyFont="1" applyFill="1" applyBorder="1"/>
    <xf numFmtId="0" fontId="104" fillId="59" borderId="28" xfId="550" applyFont="1" applyFill="1" applyBorder="1" applyAlignment="1">
      <alignment horizontal="center"/>
    </xf>
    <xf numFmtId="0" fontId="104" fillId="59" borderId="33" xfId="550" applyFont="1" applyFill="1" applyBorder="1" applyAlignment="1">
      <alignment horizontal="center"/>
    </xf>
    <xf numFmtId="0" fontId="104" fillId="59" borderId="31" xfId="550" applyFont="1" applyFill="1" applyBorder="1"/>
    <xf numFmtId="0" fontId="104" fillId="59" borderId="31" xfId="550" applyFont="1" applyFill="1" applyBorder="1" applyAlignment="1">
      <alignment horizontal="center"/>
    </xf>
    <xf numFmtId="0" fontId="104" fillId="59" borderId="32" xfId="550" applyFont="1" applyFill="1" applyBorder="1" applyAlignment="1">
      <alignment horizontal="center"/>
    </xf>
    <xf numFmtId="0" fontId="33" fillId="57" borderId="33" xfId="550" applyFont="1" applyFill="1" applyBorder="1"/>
    <xf numFmtId="43" fontId="33" fillId="57" borderId="35" xfId="10518" applyFont="1" applyFill="1" applyBorder="1" applyAlignment="1">
      <alignment horizontal="center"/>
    </xf>
    <xf numFmtId="9" fontId="104" fillId="57" borderId="30" xfId="290" applyFont="1" applyFill="1" applyBorder="1" applyAlignment="1">
      <alignment horizontal="center"/>
    </xf>
    <xf numFmtId="38" fontId="104" fillId="57" borderId="37" xfId="34681" applyNumberFormat="1" applyFont="1" applyFill="1" applyBorder="1" applyAlignment="1">
      <alignment horizontal="center"/>
    </xf>
    <xf numFmtId="9" fontId="104" fillId="57" borderId="49" xfId="290" applyFont="1" applyFill="1" applyBorder="1" applyAlignment="1">
      <alignment horizontal="center"/>
    </xf>
    <xf numFmtId="38" fontId="33" fillId="57" borderId="35" xfId="10518" applyNumberFormat="1" applyFont="1" applyFill="1" applyBorder="1" applyAlignment="1">
      <alignment horizontal="center"/>
    </xf>
    <xf numFmtId="168" fontId="33" fillId="0" borderId="38" xfId="0" applyNumberFormat="1" applyFont="1" applyBorder="1"/>
    <xf numFmtId="38" fontId="104" fillId="57" borderId="35" xfId="10518" applyNumberFormat="1" applyFont="1" applyFill="1" applyBorder="1" applyAlignment="1">
      <alignment horizontal="center"/>
    </xf>
    <xf numFmtId="0" fontId="104" fillId="57" borderId="37" xfId="550" applyFont="1" applyFill="1" applyBorder="1" applyAlignment="1">
      <alignment horizontal="justify"/>
    </xf>
    <xf numFmtId="38" fontId="104" fillId="57" borderId="36" xfId="10518" applyNumberFormat="1" applyFont="1" applyFill="1" applyBorder="1" applyAlignment="1">
      <alignment horizontal="center"/>
    </xf>
    <xf numFmtId="168" fontId="104" fillId="25" borderId="31" xfId="0" applyNumberFormat="1" applyFont="1" applyFill="1" applyBorder="1"/>
    <xf numFmtId="0" fontId="33" fillId="61" borderId="28" xfId="243" applyFont="1" applyFill="1" applyBorder="1"/>
    <xf numFmtId="0" fontId="104" fillId="61" borderId="28" xfId="243" applyFont="1" applyFill="1" applyBorder="1" applyAlignment="1">
      <alignment horizontal="center"/>
    </xf>
    <xf numFmtId="0" fontId="104" fillId="61" borderId="33" xfId="243" applyFont="1" applyFill="1" applyBorder="1" applyAlignment="1">
      <alignment horizontal="center"/>
    </xf>
    <xf numFmtId="0" fontId="33" fillId="61" borderId="31" xfId="243" applyFont="1" applyFill="1" applyBorder="1"/>
    <xf numFmtId="0" fontId="104" fillId="61" borderId="31" xfId="243" applyFont="1" applyFill="1" applyBorder="1" applyAlignment="1">
      <alignment horizontal="center"/>
    </xf>
    <xf numFmtId="0" fontId="104" fillId="61" borderId="32" xfId="243" applyFont="1" applyFill="1" applyBorder="1" applyAlignment="1">
      <alignment horizontal="center"/>
    </xf>
    <xf numFmtId="0" fontId="104" fillId="60" borderId="33" xfId="243" applyFont="1" applyFill="1" applyBorder="1"/>
    <xf numFmtId="43" fontId="33" fillId="60" borderId="35" xfId="545" applyFont="1" applyFill="1" applyBorder="1" applyAlignment="1">
      <alignment horizontal="center"/>
    </xf>
    <xf numFmtId="0" fontId="104" fillId="60" borderId="35" xfId="243" applyFont="1" applyFill="1" applyBorder="1"/>
    <xf numFmtId="0" fontId="33" fillId="60" borderId="35" xfId="243" applyFont="1" applyFill="1" applyBorder="1"/>
    <xf numFmtId="38" fontId="33" fillId="60" borderId="40" xfId="546" applyNumberFormat="1" applyFont="1" applyFill="1" applyBorder="1" applyAlignment="1">
      <alignment horizontal="center"/>
    </xf>
    <xf numFmtId="38" fontId="104" fillId="60" borderId="36" xfId="546" applyNumberFormat="1" applyFont="1" applyFill="1" applyBorder="1" applyAlignment="1">
      <alignment horizontal="center"/>
    </xf>
    <xf numFmtId="43" fontId="33" fillId="60" borderId="33" xfId="545" applyFont="1" applyFill="1" applyBorder="1" applyAlignment="1">
      <alignment horizontal="center"/>
    </xf>
    <xf numFmtId="9" fontId="104" fillId="60" borderId="40" xfId="544" applyFont="1" applyFill="1" applyBorder="1" applyAlignment="1">
      <alignment horizontal="center"/>
    </xf>
    <xf numFmtId="0" fontId="104" fillId="60" borderId="38" xfId="243" applyFont="1" applyFill="1" applyBorder="1" applyAlignment="1">
      <alignment horizontal="left"/>
    </xf>
    <xf numFmtId="0" fontId="33" fillId="60" borderId="38" xfId="243" applyFont="1" applyFill="1" applyBorder="1" applyAlignment="1">
      <alignment horizontal="left"/>
    </xf>
    <xf numFmtId="9" fontId="33" fillId="60" borderId="40" xfId="544" applyFont="1" applyFill="1" applyBorder="1" applyAlignment="1">
      <alignment horizontal="center"/>
    </xf>
    <xf numFmtId="0" fontId="33" fillId="60" borderId="38" xfId="243" applyFont="1" applyFill="1" applyBorder="1"/>
    <xf numFmtId="0" fontId="104" fillId="60" borderId="38" xfId="243" applyFont="1" applyFill="1" applyBorder="1" applyAlignment="1">
      <alignment horizontal="left" wrapText="1"/>
    </xf>
    <xf numFmtId="43" fontId="104" fillId="60" borderId="35" xfId="546" applyFont="1" applyFill="1" applyBorder="1" applyAlignment="1">
      <alignment horizontal="center"/>
    </xf>
    <xf numFmtId="0" fontId="104" fillId="60" borderId="37" xfId="243" applyFont="1" applyFill="1" applyBorder="1" applyAlignment="1">
      <alignment horizontal="justify"/>
    </xf>
    <xf numFmtId="0" fontId="105" fillId="60" borderId="38" xfId="243" applyFont="1" applyFill="1" applyBorder="1" applyAlignment="1">
      <alignment horizontal="left"/>
    </xf>
    <xf numFmtId="2" fontId="104" fillId="24" borderId="33" xfId="0" applyNumberFormat="1" applyFont="1" applyFill="1" applyBorder="1" applyAlignment="1">
      <alignment horizontal="right"/>
    </xf>
    <xf numFmtId="2" fontId="104" fillId="24" borderId="30" xfId="0" applyNumberFormat="1" applyFont="1" applyFill="1" applyBorder="1" applyAlignment="1">
      <alignment horizontal="right"/>
    </xf>
    <xf numFmtId="38" fontId="117" fillId="24" borderId="35" xfId="163" applyNumberFormat="1" applyFont="1" applyFill="1" applyBorder="1" applyAlignment="1">
      <alignment horizontal="center"/>
    </xf>
    <xf numFmtId="38" fontId="117" fillId="57" borderId="35" xfId="163" applyNumberFormat="1" applyFont="1" applyFill="1" applyBorder="1" applyAlignment="1">
      <alignment horizontal="center"/>
    </xf>
    <xf numFmtId="38" fontId="111" fillId="24" borderId="35" xfId="163" applyNumberFormat="1" applyFont="1" applyFill="1" applyBorder="1" applyAlignment="1">
      <alignment horizontal="center"/>
    </xf>
    <xf numFmtId="38" fontId="111" fillId="57" borderId="35" xfId="163" applyNumberFormat="1" applyFont="1" applyFill="1" applyBorder="1" applyAlignment="1">
      <alignment horizontal="center"/>
    </xf>
    <xf numFmtId="38" fontId="104" fillId="24" borderId="36" xfId="163" applyNumberFormat="1" applyFont="1" applyFill="1" applyBorder="1" applyAlignment="1">
      <alignment horizontal="center"/>
    </xf>
    <xf numFmtId="38" fontId="33" fillId="24" borderId="33" xfId="163" applyNumberFormat="1" applyFont="1" applyFill="1" applyBorder="1" applyAlignment="1">
      <alignment horizontal="center"/>
    </xf>
    <xf numFmtId="0" fontId="33" fillId="25" borderId="31" xfId="469" applyFont="1" applyFill="1" applyBorder="1"/>
    <xf numFmtId="0" fontId="104" fillId="25" borderId="31" xfId="469" applyFont="1" applyFill="1" applyBorder="1" applyAlignment="1">
      <alignment horizontal="center"/>
    </xf>
    <xf numFmtId="0" fontId="104" fillId="25" borderId="32" xfId="469" applyFont="1" applyFill="1" applyBorder="1" applyAlignment="1">
      <alignment horizontal="center"/>
    </xf>
    <xf numFmtId="0" fontId="104" fillId="24" borderId="33" xfId="469" applyFont="1" applyFill="1" applyBorder="1"/>
    <xf numFmtId="43" fontId="33" fillId="24" borderId="35" xfId="18820" applyFont="1" applyFill="1" applyBorder="1" applyAlignment="1">
      <alignment horizontal="center"/>
    </xf>
    <xf numFmtId="2" fontId="104" fillId="24" borderId="33" xfId="469" applyNumberFormat="1" applyFont="1" applyFill="1" applyBorder="1" applyAlignment="1">
      <alignment horizontal="right"/>
    </xf>
    <xf numFmtId="9" fontId="104" fillId="24" borderId="30" xfId="290" applyFont="1" applyFill="1" applyBorder="1" applyAlignment="1">
      <alignment horizontal="center"/>
    </xf>
    <xf numFmtId="0" fontId="104" fillId="24" borderId="35" xfId="469" applyFont="1" applyFill="1" applyBorder="1"/>
    <xf numFmtId="38" fontId="104" fillId="24" borderId="35" xfId="18820" applyNumberFormat="1" applyFont="1" applyFill="1" applyBorder="1" applyAlignment="1">
      <alignment horizontal="center"/>
    </xf>
    <xf numFmtId="0" fontId="33" fillId="24" borderId="35" xfId="469" applyFont="1" applyFill="1" applyBorder="1"/>
    <xf numFmtId="38" fontId="33" fillId="24" borderId="35" xfId="18820" applyNumberFormat="1" applyFont="1" applyFill="1" applyBorder="1" applyAlignment="1">
      <alignment horizontal="center"/>
    </xf>
    <xf numFmtId="38" fontId="104" fillId="24" borderId="36" xfId="18820" applyNumberFormat="1" applyFont="1" applyFill="1" applyBorder="1" applyAlignment="1">
      <alignment horizontal="center"/>
    </xf>
    <xf numFmtId="0" fontId="104" fillId="24" borderId="37" xfId="469" applyFont="1" applyFill="1" applyBorder="1" applyAlignment="1">
      <alignment horizontal="left"/>
    </xf>
    <xf numFmtId="38" fontId="33" fillId="57" borderId="35" xfId="18820" applyNumberFormat="1" applyFont="1" applyFill="1" applyBorder="1" applyAlignment="1">
      <alignment horizontal="center"/>
    </xf>
    <xf numFmtId="0" fontId="104" fillId="24" borderId="38" xfId="469" applyFont="1" applyFill="1" applyBorder="1" applyAlignment="1">
      <alignment horizontal="left"/>
    </xf>
    <xf numFmtId="168" fontId="117" fillId="63" borderId="37" xfId="0" applyNumberFormat="1" applyFont="1" applyFill="1" applyBorder="1"/>
    <xf numFmtId="0" fontId="104" fillId="60" borderId="37" xfId="243" applyFont="1" applyFill="1" applyBorder="1" applyAlignment="1">
      <alignment horizontal="left"/>
    </xf>
    <xf numFmtId="0" fontId="104" fillId="24" borderId="37" xfId="1081" applyFont="1" applyFill="1" applyBorder="1" applyAlignment="1">
      <alignment horizontal="left"/>
    </xf>
    <xf numFmtId="0" fontId="104" fillId="25" borderId="10" xfId="224" applyFont="1" applyFill="1" applyBorder="1" applyAlignment="1">
      <alignment horizontal="center"/>
    </xf>
    <xf numFmtId="0" fontId="104" fillId="25" borderId="11" xfId="224" applyFont="1" applyFill="1" applyBorder="1" applyAlignment="1">
      <alignment horizontal="center"/>
    </xf>
    <xf numFmtId="0" fontId="104" fillId="25" borderId="12" xfId="224" applyFont="1" applyFill="1" applyBorder="1" applyAlignment="1">
      <alignment horizontal="center"/>
    </xf>
    <xf numFmtId="3" fontId="33" fillId="25" borderId="0" xfId="0" applyNumberFormat="1" applyFont="1" applyFill="1" applyAlignment="1">
      <alignment horizontal="center"/>
    </xf>
    <xf numFmtId="3" fontId="33" fillId="25" borderId="14" xfId="0" applyNumberFormat="1" applyFont="1" applyFill="1" applyBorder="1" applyAlignment="1">
      <alignment horizontal="center"/>
    </xf>
    <xf numFmtId="4" fontId="33" fillId="25" borderId="0" xfId="0" applyNumberFormat="1" applyFont="1" applyFill="1" applyAlignment="1">
      <alignment horizontal="center"/>
    </xf>
    <xf numFmtId="4" fontId="33" fillId="25" borderId="14" xfId="0" applyNumberFormat="1" applyFont="1" applyFill="1" applyBorder="1" applyAlignment="1">
      <alignment horizontal="center"/>
    </xf>
    <xf numFmtId="0" fontId="104" fillId="25" borderId="11" xfId="0" applyFont="1" applyFill="1" applyBorder="1" applyAlignment="1">
      <alignment horizontal="center"/>
    </xf>
    <xf numFmtId="0" fontId="104" fillId="25" borderId="12" xfId="0" applyFont="1" applyFill="1" applyBorder="1" applyAlignment="1">
      <alignment horizontal="center"/>
    </xf>
    <xf numFmtId="14" fontId="104" fillId="25" borderId="0" xfId="0" applyNumberFormat="1" applyFont="1" applyFill="1" applyAlignment="1">
      <alignment horizontal="center"/>
    </xf>
    <xf numFmtId="0" fontId="104" fillId="25" borderId="0" xfId="0" applyFont="1" applyFill="1" applyAlignment="1">
      <alignment horizontal="center"/>
    </xf>
    <xf numFmtId="14" fontId="104" fillId="25" borderId="14" xfId="0" applyNumberFormat="1" applyFont="1" applyFill="1" applyBorder="1" applyAlignment="1">
      <alignment horizontal="center"/>
    </xf>
    <xf numFmtId="168" fontId="104" fillId="25" borderId="28" xfId="0" applyNumberFormat="1" applyFont="1" applyFill="1" applyBorder="1" applyAlignment="1">
      <alignment horizontal="center"/>
    </xf>
    <xf numFmtId="168" fontId="104" fillId="25" borderId="29" xfId="0" applyNumberFormat="1" applyFont="1" applyFill="1" applyBorder="1" applyAlignment="1">
      <alignment horizontal="center"/>
    </xf>
    <xf numFmtId="168" fontId="104" fillId="25" borderId="30" xfId="0" applyNumberFormat="1" applyFont="1" applyFill="1" applyBorder="1" applyAlignment="1">
      <alignment horizontal="center"/>
    </xf>
    <xf numFmtId="0" fontId="104" fillId="25" borderId="31" xfId="932" applyFont="1" applyFill="1" applyBorder="1" applyAlignment="1">
      <alignment horizontal="center"/>
    </xf>
    <xf numFmtId="0" fontId="104" fillId="25" borderId="34" xfId="932" applyFont="1" applyFill="1" applyBorder="1" applyAlignment="1">
      <alignment horizontal="center"/>
    </xf>
    <xf numFmtId="0" fontId="104" fillId="25" borderId="39" xfId="932" applyFont="1" applyFill="1" applyBorder="1" applyAlignment="1">
      <alignment horizontal="center"/>
    </xf>
    <xf numFmtId="0" fontId="104" fillId="61" borderId="28" xfId="243" applyFont="1" applyFill="1" applyBorder="1" applyAlignment="1">
      <alignment horizontal="center"/>
    </xf>
    <xf numFmtId="0" fontId="104" fillId="61" borderId="29" xfId="243" applyFont="1" applyFill="1" applyBorder="1" applyAlignment="1">
      <alignment horizontal="center"/>
    </xf>
    <xf numFmtId="0" fontId="104" fillId="61" borderId="30" xfId="243" applyFont="1" applyFill="1" applyBorder="1" applyAlignment="1">
      <alignment horizontal="center"/>
    </xf>
    <xf numFmtId="0" fontId="104" fillId="61" borderId="31" xfId="243" applyFont="1" applyFill="1" applyBorder="1" applyAlignment="1">
      <alignment horizontal="center"/>
    </xf>
    <xf numFmtId="0" fontId="104" fillId="61" borderId="34" xfId="243" applyFont="1" applyFill="1" applyBorder="1" applyAlignment="1">
      <alignment horizontal="center"/>
    </xf>
    <xf numFmtId="0" fontId="104" fillId="61" borderId="39" xfId="243" applyFont="1" applyFill="1" applyBorder="1" applyAlignment="1">
      <alignment horizontal="center"/>
    </xf>
    <xf numFmtId="0" fontId="104" fillId="61" borderId="31" xfId="550" applyFont="1" applyFill="1" applyBorder="1" applyAlignment="1">
      <alignment horizontal="center"/>
    </xf>
    <xf numFmtId="0" fontId="104" fillId="61" borderId="34" xfId="550" applyFont="1" applyFill="1" applyBorder="1" applyAlignment="1">
      <alignment horizontal="center"/>
    </xf>
    <xf numFmtId="0" fontId="104" fillId="61" borderId="39" xfId="550" applyFont="1" applyFill="1" applyBorder="1" applyAlignment="1">
      <alignment horizontal="center"/>
    </xf>
    <xf numFmtId="0" fontId="104" fillId="59" borderId="28" xfId="1611" applyFont="1" applyFill="1" applyBorder="1" applyAlignment="1">
      <alignment horizontal="center"/>
    </xf>
    <xf numFmtId="0" fontId="104" fillId="59" borderId="29" xfId="1611" applyFont="1" applyFill="1" applyBorder="1" applyAlignment="1">
      <alignment horizontal="center"/>
    </xf>
    <xf numFmtId="0" fontId="104" fillId="59" borderId="30" xfId="1611" applyFont="1" applyFill="1" applyBorder="1" applyAlignment="1">
      <alignment horizontal="center"/>
    </xf>
    <xf numFmtId="0" fontId="118" fillId="62" borderId="31" xfId="0" applyFont="1" applyFill="1" applyBorder="1" applyAlignment="1">
      <alignment horizontal="center" vertical="center"/>
    </xf>
    <xf numFmtId="0" fontId="118" fillId="62" borderId="34" xfId="0" applyFont="1" applyFill="1" applyBorder="1" applyAlignment="1">
      <alignment horizontal="center" vertical="center"/>
    </xf>
    <xf numFmtId="0" fontId="118" fillId="62" borderId="42" xfId="0" applyFont="1" applyFill="1" applyBorder="1" applyAlignment="1">
      <alignment horizontal="center" vertical="center"/>
    </xf>
    <xf numFmtId="168" fontId="104" fillId="25" borderId="33" xfId="0" applyNumberFormat="1" applyFont="1" applyFill="1" applyBorder="1" applyAlignment="1">
      <alignment horizontal="center"/>
    </xf>
    <xf numFmtId="0" fontId="104" fillId="25" borderId="32" xfId="932" applyFont="1" applyFill="1" applyBorder="1" applyAlignment="1">
      <alignment horizontal="center"/>
    </xf>
    <xf numFmtId="168" fontId="104" fillId="64" borderId="28" xfId="0" applyNumberFormat="1" applyFont="1" applyFill="1" applyBorder="1" applyAlignment="1">
      <alignment horizontal="center" vertical="center"/>
    </xf>
    <xf numFmtId="168" fontId="104" fillId="64" borderId="33" xfId="0" applyNumberFormat="1" applyFont="1" applyFill="1" applyBorder="1" applyAlignment="1">
      <alignment horizontal="center" vertical="center"/>
    </xf>
    <xf numFmtId="0" fontId="104" fillId="59" borderId="31" xfId="550" applyFont="1" applyFill="1" applyBorder="1" applyAlignment="1">
      <alignment horizontal="center"/>
    </xf>
    <xf numFmtId="0" fontId="104" fillId="59" borderId="32" xfId="550" applyFont="1" applyFill="1" applyBorder="1" applyAlignment="1">
      <alignment horizontal="center"/>
    </xf>
    <xf numFmtId="168" fontId="104" fillId="61" borderId="28" xfId="550" applyNumberFormat="1" applyFont="1" applyFill="1" applyBorder="1" applyAlignment="1">
      <alignment horizontal="center"/>
    </xf>
    <xf numFmtId="168" fontId="104" fillId="61" borderId="29" xfId="550" applyNumberFormat="1" applyFont="1" applyFill="1" applyBorder="1" applyAlignment="1">
      <alignment horizontal="center"/>
    </xf>
    <xf numFmtId="168" fontId="104" fillId="61" borderId="30" xfId="550" applyNumberFormat="1" applyFont="1" applyFill="1" applyBorder="1" applyAlignment="1">
      <alignment horizontal="center"/>
    </xf>
    <xf numFmtId="168" fontId="104" fillId="61" borderId="31" xfId="2140" applyNumberFormat="1" applyFont="1" applyFill="1" applyBorder="1" applyAlignment="1">
      <alignment horizontal="center"/>
    </xf>
    <xf numFmtId="168" fontId="104" fillId="61" borderId="34" xfId="2140" applyNumberFormat="1" applyFont="1" applyFill="1" applyBorder="1" applyAlignment="1">
      <alignment horizontal="center"/>
    </xf>
    <xf numFmtId="168" fontId="104" fillId="61" borderId="39" xfId="2140" applyNumberFormat="1" applyFont="1" applyFill="1" applyBorder="1" applyAlignment="1">
      <alignment horizontal="center"/>
    </xf>
    <xf numFmtId="0" fontId="104" fillId="25" borderId="28" xfId="1081" applyFont="1" applyFill="1" applyBorder="1" applyAlignment="1">
      <alignment horizontal="center"/>
    </xf>
    <xf numFmtId="0" fontId="104" fillId="25" borderId="29" xfId="1081" applyFont="1" applyFill="1" applyBorder="1" applyAlignment="1">
      <alignment horizontal="center"/>
    </xf>
    <xf numFmtId="0" fontId="104" fillId="25" borderId="30" xfId="1081" applyFont="1" applyFill="1" applyBorder="1" applyAlignment="1">
      <alignment horizontal="center"/>
    </xf>
    <xf numFmtId="0" fontId="104" fillId="25" borderId="31" xfId="1081" applyFont="1" applyFill="1" applyBorder="1" applyAlignment="1">
      <alignment horizontal="center"/>
    </xf>
    <xf numFmtId="0" fontId="104" fillId="25" borderId="34" xfId="1081" applyFont="1" applyFill="1" applyBorder="1" applyAlignment="1">
      <alignment horizontal="center"/>
    </xf>
    <xf numFmtId="0" fontId="104" fillId="25" borderId="39" xfId="1081" applyFont="1" applyFill="1" applyBorder="1" applyAlignment="1">
      <alignment horizontal="center"/>
    </xf>
    <xf numFmtId="0" fontId="104" fillId="62" borderId="46" xfId="932" applyFont="1" applyFill="1" applyBorder="1" applyAlignment="1">
      <alignment horizontal="center"/>
    </xf>
    <xf numFmtId="0" fontId="104" fillId="62" borderId="47" xfId="932" applyFont="1" applyFill="1" applyBorder="1" applyAlignment="1">
      <alignment horizontal="center"/>
    </xf>
    <xf numFmtId="0" fontId="104" fillId="62" borderId="48" xfId="932" applyFont="1" applyFill="1" applyBorder="1" applyAlignment="1">
      <alignment horizontal="center"/>
    </xf>
    <xf numFmtId="0" fontId="118" fillId="62" borderId="28" xfId="0" applyFont="1" applyFill="1" applyBorder="1" applyAlignment="1">
      <alignment horizontal="center" vertical="center"/>
    </xf>
    <xf numFmtId="0" fontId="118" fillId="62" borderId="29" xfId="0" applyFont="1" applyFill="1" applyBorder="1" applyAlignment="1">
      <alignment horizontal="center" vertical="center"/>
    </xf>
    <xf numFmtId="0" fontId="118" fillId="62" borderId="41" xfId="0" applyFont="1" applyFill="1" applyBorder="1" applyAlignment="1">
      <alignment horizontal="center" vertical="center"/>
    </xf>
    <xf numFmtId="0" fontId="118" fillId="62" borderId="39" xfId="0" applyFont="1" applyFill="1" applyBorder="1" applyAlignment="1">
      <alignment horizontal="center" vertical="center"/>
    </xf>
    <xf numFmtId="0" fontId="104" fillId="59" borderId="28" xfId="2135" applyFont="1" applyFill="1" applyBorder="1" applyAlignment="1">
      <alignment horizontal="center"/>
    </xf>
    <xf numFmtId="0" fontId="104" fillId="59" borderId="29" xfId="2135" applyFont="1" applyFill="1" applyBorder="1" applyAlignment="1">
      <alignment horizontal="center"/>
    </xf>
    <xf numFmtId="0" fontId="104" fillId="59" borderId="30" xfId="2135" applyFont="1" applyFill="1" applyBorder="1" applyAlignment="1">
      <alignment horizontal="center"/>
    </xf>
    <xf numFmtId="0" fontId="104" fillId="59" borderId="0" xfId="550" applyFont="1" applyFill="1" applyAlignment="1">
      <alignment horizontal="center"/>
    </xf>
    <xf numFmtId="0" fontId="104" fillId="59" borderId="34" xfId="550" applyFont="1" applyFill="1" applyBorder="1" applyAlignment="1">
      <alignment horizontal="center"/>
    </xf>
    <xf numFmtId="0" fontId="104" fillId="59" borderId="39" xfId="550" applyFont="1" applyFill="1" applyBorder="1" applyAlignment="1">
      <alignment horizontal="center"/>
    </xf>
    <xf numFmtId="0" fontId="104" fillId="25" borderId="28" xfId="2140" applyFont="1" applyFill="1" applyBorder="1" applyAlignment="1">
      <alignment horizontal="center"/>
    </xf>
    <xf numFmtId="0" fontId="104" fillId="25" borderId="29" xfId="2140" applyFont="1" applyFill="1" applyBorder="1" applyAlignment="1">
      <alignment horizontal="center"/>
    </xf>
    <xf numFmtId="0" fontId="104" fillId="25" borderId="30" xfId="2140" applyFont="1" applyFill="1" applyBorder="1" applyAlignment="1">
      <alignment horizontal="center"/>
    </xf>
    <xf numFmtId="168" fontId="104" fillId="65" borderId="28" xfId="555" applyNumberFormat="1" applyFont="1" applyFill="1" applyBorder="1" applyAlignment="1">
      <alignment horizontal="center"/>
    </xf>
    <xf numFmtId="168" fontId="104" fillId="65" borderId="33" xfId="555" applyNumberFormat="1" applyFont="1" applyFill="1" applyBorder="1" applyAlignment="1">
      <alignment horizontal="center"/>
    </xf>
    <xf numFmtId="168" fontId="104" fillId="65" borderId="28" xfId="34686" applyNumberFormat="1" applyFont="1" applyFill="1" applyBorder="1" applyAlignment="1">
      <alignment horizontal="center"/>
    </xf>
    <xf numFmtId="168" fontId="104" fillId="65" borderId="33" xfId="34686" applyNumberFormat="1" applyFont="1" applyFill="1" applyBorder="1" applyAlignment="1">
      <alignment horizontal="center"/>
    </xf>
    <xf numFmtId="0" fontId="104" fillId="25" borderId="31" xfId="34668" applyFont="1" applyFill="1" applyBorder="1" applyAlignment="1">
      <alignment horizontal="center"/>
    </xf>
    <xf numFmtId="0" fontId="104" fillId="25" borderId="32" xfId="34668" applyFont="1" applyFill="1" applyBorder="1" applyAlignment="1">
      <alignment horizontal="center"/>
    </xf>
    <xf numFmtId="0" fontId="118" fillId="61" borderId="28" xfId="0" applyFont="1" applyFill="1" applyBorder="1" applyAlignment="1">
      <alignment horizontal="center"/>
    </xf>
    <xf numFmtId="0" fontId="118" fillId="61" borderId="29" xfId="0" applyFont="1" applyFill="1" applyBorder="1" applyAlignment="1">
      <alignment horizontal="center"/>
    </xf>
    <xf numFmtId="0" fontId="118" fillId="61" borderId="41" xfId="0" applyFont="1" applyFill="1" applyBorder="1" applyAlignment="1">
      <alignment horizontal="center"/>
    </xf>
    <xf numFmtId="0" fontId="104" fillId="25" borderId="28" xfId="932" applyFont="1" applyFill="1" applyBorder="1" applyAlignment="1">
      <alignment horizontal="center"/>
    </xf>
    <xf numFmtId="0" fontId="104" fillId="25" borderId="29" xfId="932" applyFont="1" applyFill="1" applyBorder="1" applyAlignment="1">
      <alignment horizontal="center"/>
    </xf>
    <xf numFmtId="0" fontId="104" fillId="25" borderId="30" xfId="932" applyFont="1" applyFill="1" applyBorder="1" applyAlignment="1">
      <alignment horizontal="center"/>
    </xf>
    <xf numFmtId="0" fontId="118" fillId="61" borderId="31" xfId="0" applyFont="1" applyFill="1" applyBorder="1" applyAlignment="1">
      <alignment horizontal="center"/>
    </xf>
    <xf numFmtId="0" fontId="118" fillId="61" borderId="34" xfId="0" applyFont="1" applyFill="1" applyBorder="1" applyAlignment="1">
      <alignment horizontal="center"/>
    </xf>
    <xf numFmtId="0" fontId="118" fillId="61" borderId="42" xfId="0" applyFont="1" applyFill="1" applyBorder="1" applyAlignment="1">
      <alignment horizontal="center"/>
    </xf>
    <xf numFmtId="168" fontId="104" fillId="59" borderId="28" xfId="1082" applyFont="1" applyFill="1" applyBorder="1" applyAlignment="1">
      <alignment horizontal="center"/>
    </xf>
    <xf numFmtId="168" fontId="104" fillId="59" borderId="29" xfId="1082" applyFont="1" applyFill="1" applyBorder="1" applyAlignment="1">
      <alignment horizontal="center"/>
    </xf>
    <xf numFmtId="168" fontId="104" fillId="59" borderId="30" xfId="1082" applyFont="1" applyFill="1" applyBorder="1" applyAlignment="1">
      <alignment horizontal="center"/>
    </xf>
    <xf numFmtId="0" fontId="104" fillId="25" borderId="31" xfId="3964" applyFont="1" applyFill="1" applyBorder="1" applyAlignment="1">
      <alignment horizontal="center"/>
    </xf>
    <xf numFmtId="0" fontId="104" fillId="25" borderId="34" xfId="3964" applyFont="1" applyFill="1" applyBorder="1" applyAlignment="1">
      <alignment horizontal="center"/>
    </xf>
    <xf numFmtId="0" fontId="104" fillId="25" borderId="39" xfId="3964" applyFont="1" applyFill="1" applyBorder="1" applyAlignment="1">
      <alignment horizontal="center"/>
    </xf>
    <xf numFmtId="0" fontId="104" fillId="25" borderId="28" xfId="1843" applyFont="1" applyFill="1" applyBorder="1" applyAlignment="1">
      <alignment horizontal="center"/>
    </xf>
    <xf numFmtId="0" fontId="104" fillId="25" borderId="33" xfId="1843" applyFont="1" applyFill="1" applyBorder="1" applyAlignment="1">
      <alignment horizontal="center"/>
    </xf>
    <xf numFmtId="0" fontId="104" fillId="59" borderId="31" xfId="236" applyFont="1" applyFill="1" applyBorder="1" applyAlignment="1">
      <alignment horizontal="center"/>
    </xf>
    <xf numFmtId="0" fontId="104" fillId="59" borderId="32" xfId="236" applyFont="1" applyFill="1" applyBorder="1" applyAlignment="1">
      <alignment horizontal="center"/>
    </xf>
    <xf numFmtId="0" fontId="116" fillId="24" borderId="0" xfId="0" applyFont="1" applyFill="1" applyAlignment="1">
      <alignment horizontal="center"/>
    </xf>
    <xf numFmtId="0" fontId="104" fillId="25" borderId="28" xfId="550" applyFont="1" applyFill="1" applyBorder="1" applyAlignment="1">
      <alignment horizontal="center"/>
    </xf>
    <xf numFmtId="0" fontId="104" fillId="25" borderId="33" xfId="550" applyFont="1" applyFill="1" applyBorder="1" applyAlignment="1">
      <alignment horizontal="center"/>
    </xf>
    <xf numFmtId="0" fontId="104" fillId="25" borderId="31" xfId="550" applyFont="1" applyFill="1" applyBorder="1" applyAlignment="1">
      <alignment horizontal="center"/>
    </xf>
    <xf numFmtId="0" fontId="104" fillId="25" borderId="32" xfId="550" applyFont="1" applyFill="1" applyBorder="1" applyAlignment="1">
      <alignment horizontal="center"/>
    </xf>
    <xf numFmtId="0" fontId="104" fillId="25" borderId="28" xfId="3964" applyFont="1" applyFill="1" applyBorder="1" applyAlignment="1">
      <alignment horizontal="center"/>
    </xf>
    <xf numFmtId="0" fontId="104" fillId="25" borderId="29" xfId="3964" applyFont="1" applyFill="1" applyBorder="1" applyAlignment="1">
      <alignment horizontal="center"/>
    </xf>
    <xf numFmtId="0" fontId="104" fillId="25" borderId="30" xfId="3964" applyFont="1" applyFill="1" applyBorder="1" applyAlignment="1">
      <alignment horizontal="center"/>
    </xf>
    <xf numFmtId="0" fontId="104" fillId="25" borderId="28" xfId="469" applyFont="1" applyFill="1" applyBorder="1" applyAlignment="1">
      <alignment horizontal="center"/>
    </xf>
    <xf numFmtId="0" fontId="104" fillId="25" borderId="33" xfId="469" applyFont="1" applyFill="1" applyBorder="1" applyAlignment="1">
      <alignment horizontal="center"/>
    </xf>
    <xf numFmtId="0" fontId="104" fillId="25" borderId="28" xfId="1079" applyFont="1" applyFill="1" applyBorder="1" applyAlignment="1">
      <alignment horizontal="center"/>
    </xf>
    <xf numFmtId="0" fontId="104" fillId="25" borderId="29" xfId="1079" applyFont="1" applyFill="1" applyBorder="1" applyAlignment="1">
      <alignment horizontal="center"/>
    </xf>
    <xf numFmtId="0" fontId="104" fillId="25" borderId="30" xfId="1079" applyFont="1" applyFill="1" applyBorder="1" applyAlignment="1">
      <alignment horizontal="center"/>
    </xf>
    <xf numFmtId="168" fontId="104" fillId="61" borderId="31" xfId="12628" applyNumberFormat="1" applyFont="1" applyFill="1" applyBorder="1" applyAlignment="1">
      <alignment horizontal="center"/>
    </xf>
    <xf numFmtId="168" fontId="104" fillId="61" borderId="34" xfId="12628" applyNumberFormat="1" applyFont="1" applyFill="1" applyBorder="1" applyAlignment="1">
      <alignment horizontal="center"/>
    </xf>
    <xf numFmtId="168" fontId="104" fillId="61" borderId="39" xfId="12628" applyNumberFormat="1" applyFont="1" applyFill="1" applyBorder="1" applyAlignment="1">
      <alignment horizontal="center"/>
    </xf>
    <xf numFmtId="168" fontId="104" fillId="25" borderId="28" xfId="2132" applyFont="1" applyFill="1" applyBorder="1" applyAlignment="1">
      <alignment horizontal="center"/>
    </xf>
    <xf numFmtId="168" fontId="104" fillId="25" borderId="33" xfId="2132" applyFont="1" applyFill="1" applyBorder="1" applyAlignment="1">
      <alignment horizontal="center"/>
    </xf>
    <xf numFmtId="0" fontId="104" fillId="59" borderId="28" xfId="4886" applyFont="1" applyFill="1" applyBorder="1" applyAlignment="1">
      <alignment horizontal="center"/>
    </xf>
    <xf numFmtId="0" fontId="104" fillId="59" borderId="33" xfId="4886" applyFont="1" applyFill="1" applyBorder="1" applyAlignment="1">
      <alignment horizontal="center"/>
    </xf>
    <xf numFmtId="0" fontId="104" fillId="64" borderId="28" xfId="0" applyFont="1" applyFill="1" applyBorder="1" applyAlignment="1">
      <alignment horizontal="center" vertical="center"/>
    </xf>
    <xf numFmtId="0" fontId="104" fillId="64" borderId="29" xfId="0" applyFont="1" applyFill="1" applyBorder="1" applyAlignment="1">
      <alignment horizontal="center" vertical="center"/>
    </xf>
    <xf numFmtId="0" fontId="104" fillId="64" borderId="41" xfId="0" applyFont="1" applyFill="1" applyBorder="1" applyAlignment="1">
      <alignment horizontal="center" vertical="center"/>
    </xf>
  </cellXfs>
  <cellStyles count="3473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21</xdr:col>
      <xdr:colOff>228601</xdr:colOff>
      <xdr:row>27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4D5C31-685E-4206-9E93-313AAB44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3220700" cy="4508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dimension ref="A5:JH213"/>
  <sheetViews>
    <sheetView showGridLines="0" tabSelected="1" zoomScaleNormal="100" zoomScaleSheetLayoutView="20" workbookViewId="0">
      <selection activeCell="AC216" sqref="AC216"/>
    </sheetView>
  </sheetViews>
  <sheetFormatPr defaultColWidth="9.109375" defaultRowHeight="13.2" x14ac:dyDescent="0.25"/>
  <cols>
    <col min="1" max="1" width="7.88671875" style="3" customWidth="1"/>
    <col min="2" max="16384" width="9.109375" style="3"/>
  </cols>
  <sheetData>
    <row r="5" spans="1:1" x14ac:dyDescent="0.25">
      <c r="A5" s="6"/>
    </row>
    <row r="6" spans="1:1" x14ac:dyDescent="0.25">
      <c r="A6" s="6"/>
    </row>
    <row r="54" spans="26:26" x14ac:dyDescent="0.25">
      <c r="Z54" s="3" t="s">
        <v>221</v>
      </c>
    </row>
    <row r="79" spans="268:268" ht="14.4" x14ac:dyDescent="0.3">
      <c r="JH79" s="1"/>
    </row>
    <row r="213" spans="36:36" x14ac:dyDescent="0.25">
      <c r="AJ213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3"/>
  <sheetViews>
    <sheetView showGridLines="0" zoomScale="73" zoomScaleNormal="73" workbookViewId="0">
      <pane xSplit="3" ySplit="3" topLeftCell="D4" activePane="bottomRight" state="frozen"/>
      <selection activeCell="JB143" sqref="JB143"/>
      <selection pane="topRight" activeCell="JB143" sqref="JB143"/>
      <selection pane="bottomLeft" activeCell="JB143" sqref="JB143"/>
      <selection pane="bottomRight" activeCell="T296" sqref="T296"/>
    </sheetView>
  </sheetViews>
  <sheetFormatPr defaultColWidth="0" defaultRowHeight="13.8" x14ac:dyDescent="0.25"/>
  <cols>
    <col min="1" max="1" width="3" style="68" customWidth="1"/>
    <col min="2" max="2" width="41.109375" style="114" bestFit="1" customWidth="1"/>
    <col min="3" max="3" width="47.21875" style="76" bestFit="1" customWidth="1"/>
    <col min="4" max="4" width="10.5546875" style="65" customWidth="1"/>
    <col min="5" max="5" width="10.77734375" style="65" customWidth="1"/>
    <col min="6" max="6" width="10.5546875" style="66" customWidth="1"/>
    <col min="7" max="7" width="14.109375" style="65" customWidth="1"/>
    <col min="8" max="8" width="10.33203125" style="65" customWidth="1"/>
    <col min="9" max="9" width="11.44140625" style="66" customWidth="1"/>
    <col min="10" max="10" width="10.5546875" style="65" bestFit="1" customWidth="1"/>
    <col min="11" max="12" width="10.6640625" style="65" bestFit="1" customWidth="1"/>
    <col min="13" max="13" width="11.6640625" style="66" bestFit="1" customWidth="1"/>
    <col min="14" max="14" width="10.88671875" style="68" bestFit="1" customWidth="1"/>
    <col min="15" max="15" width="6.44140625" style="68" bestFit="1" customWidth="1"/>
    <col min="16" max="16" width="7.6640625" style="69" bestFit="1" customWidth="1"/>
    <col min="17" max="17" width="26.33203125" style="70" bestFit="1" customWidth="1"/>
    <col min="18" max="18" width="18.6640625" style="70" bestFit="1" customWidth="1"/>
    <col min="19" max="19" width="9.109375" style="68" customWidth="1"/>
    <col min="20" max="20" width="5" style="68" bestFit="1" customWidth="1"/>
    <col min="21" max="24" width="0" style="68" hidden="1" customWidth="1"/>
    <col min="25" max="16384" width="9.109375" style="68" hidden="1"/>
  </cols>
  <sheetData>
    <row r="1" spans="2:19" x14ac:dyDescent="0.25">
      <c r="B1" s="75"/>
      <c r="L1" s="67"/>
      <c r="R1" s="71"/>
    </row>
    <row r="2" spans="2:19" ht="86.4" x14ac:dyDescent="0.25">
      <c r="B2" s="72" t="s">
        <v>0</v>
      </c>
      <c r="C2" s="73" t="s">
        <v>1</v>
      </c>
      <c r="D2" s="77">
        <v>44680</v>
      </c>
      <c r="E2" s="77">
        <v>44679</v>
      </c>
      <c r="F2" s="78" t="s">
        <v>2</v>
      </c>
      <c r="G2" s="79" t="s">
        <v>3</v>
      </c>
      <c r="H2" s="79" t="s">
        <v>4</v>
      </c>
      <c r="I2" s="79" t="s">
        <v>5</v>
      </c>
      <c r="J2" s="79" t="s">
        <v>6</v>
      </c>
      <c r="K2" s="79" t="s">
        <v>7</v>
      </c>
      <c r="L2" s="79" t="s">
        <v>8</v>
      </c>
      <c r="M2" s="80" t="s">
        <v>9</v>
      </c>
      <c r="N2" s="81" t="s">
        <v>10</v>
      </c>
      <c r="O2" s="81" t="s">
        <v>11</v>
      </c>
      <c r="P2" s="82" t="s">
        <v>12</v>
      </c>
      <c r="Q2" s="83" t="s">
        <v>13</v>
      </c>
      <c r="R2" s="84" t="s">
        <v>14</v>
      </c>
      <c r="S2" s="119"/>
    </row>
    <row r="3" spans="2:19" x14ac:dyDescent="0.25">
      <c r="B3" s="74"/>
      <c r="C3" s="120"/>
      <c r="D3" s="121" t="s">
        <v>15</v>
      </c>
      <c r="E3" s="121" t="s">
        <v>15</v>
      </c>
      <c r="F3" s="122" t="s">
        <v>16</v>
      </c>
      <c r="G3" s="121"/>
      <c r="H3" s="121" t="s">
        <v>15</v>
      </c>
      <c r="I3" s="122" t="s">
        <v>16</v>
      </c>
      <c r="J3" s="121" t="s">
        <v>15</v>
      </c>
      <c r="K3" s="121" t="s">
        <v>15</v>
      </c>
      <c r="L3" s="121" t="s">
        <v>15</v>
      </c>
      <c r="M3" s="122" t="s">
        <v>16</v>
      </c>
      <c r="N3" s="123"/>
      <c r="O3" s="123"/>
      <c r="P3" s="124" t="s">
        <v>15</v>
      </c>
      <c r="Q3" s="125"/>
      <c r="R3" s="85"/>
    </row>
    <row r="4" spans="2:19" x14ac:dyDescent="0.25">
      <c r="B4" s="86" t="s">
        <v>17</v>
      </c>
      <c r="C4" s="126"/>
      <c r="D4" s="127" t="s">
        <v>223</v>
      </c>
      <c r="E4" s="127" t="s">
        <v>223</v>
      </c>
      <c r="F4" s="126"/>
      <c r="G4" s="128"/>
      <c r="H4" s="126" t="s">
        <v>223</v>
      </c>
      <c r="I4" s="126"/>
      <c r="J4" s="126" t="s">
        <v>223</v>
      </c>
      <c r="K4" s="126"/>
      <c r="L4" s="129"/>
      <c r="M4" s="130"/>
      <c r="N4" s="131"/>
      <c r="O4" s="131"/>
      <c r="P4" s="132"/>
      <c r="Q4" s="133"/>
      <c r="R4" s="87"/>
    </row>
    <row r="5" spans="2:19" x14ac:dyDescent="0.25">
      <c r="B5" s="88" t="s">
        <v>18</v>
      </c>
      <c r="C5" s="134" t="s">
        <v>19</v>
      </c>
      <c r="D5" s="135">
        <v>0.37</v>
      </c>
      <c r="E5" s="135">
        <v>0.37</v>
      </c>
      <c r="F5" s="136">
        <f>D5/E5-1</f>
        <v>0</v>
      </c>
      <c r="G5" s="137">
        <v>906850</v>
      </c>
      <c r="H5" s="135">
        <v>0.4</v>
      </c>
      <c r="I5" s="136">
        <f>D5/H5-1</f>
        <v>-7.5000000000000067E-2</v>
      </c>
      <c r="J5" s="138">
        <v>0.39</v>
      </c>
      <c r="K5" s="138">
        <v>0.4</v>
      </c>
      <c r="L5" s="138">
        <v>0.31</v>
      </c>
      <c r="M5" s="136">
        <f>D5/J5-1</f>
        <v>-5.1282051282051322E-2</v>
      </c>
      <c r="N5" s="139" t="s">
        <v>20</v>
      </c>
      <c r="O5" s="139"/>
      <c r="P5" s="140"/>
      <c r="Q5" s="71"/>
      <c r="R5" s="92"/>
    </row>
    <row r="6" spans="2:19" x14ac:dyDescent="0.25">
      <c r="B6" s="88" t="s">
        <v>21</v>
      </c>
      <c r="C6" s="141" t="s">
        <v>22</v>
      </c>
      <c r="D6" s="142">
        <v>147</v>
      </c>
      <c r="E6" s="142">
        <v>147</v>
      </c>
      <c r="F6" s="143">
        <f>D6/E6-1</f>
        <v>0</v>
      </c>
      <c r="G6" s="144">
        <v>36235</v>
      </c>
      <c r="H6" s="142">
        <v>147</v>
      </c>
      <c r="I6" s="143">
        <f>D6/H6-1</f>
        <v>0</v>
      </c>
      <c r="J6" s="145">
        <f>142-8</f>
        <v>134</v>
      </c>
      <c r="K6" s="145">
        <v>155</v>
      </c>
      <c r="L6" s="145">
        <v>127.8</v>
      </c>
      <c r="M6" s="143">
        <f>D6/J6-1</f>
        <v>9.7014925373134275E-2</v>
      </c>
      <c r="N6" s="146" t="s">
        <v>20</v>
      </c>
      <c r="O6" s="146" t="s">
        <v>257</v>
      </c>
      <c r="P6" s="147">
        <v>8</v>
      </c>
      <c r="Q6" s="148">
        <v>44676</v>
      </c>
      <c r="R6" s="99">
        <v>44706</v>
      </c>
    </row>
    <row r="7" spans="2:19" x14ac:dyDescent="0.25">
      <c r="B7" s="88" t="s">
        <v>21</v>
      </c>
      <c r="C7" s="134" t="s">
        <v>23</v>
      </c>
      <c r="D7" s="135">
        <v>143.4</v>
      </c>
      <c r="E7" s="135">
        <v>143.4</v>
      </c>
      <c r="F7" s="136">
        <f>D7/E7-1</f>
        <v>0</v>
      </c>
      <c r="G7" s="137">
        <v>1111030</v>
      </c>
      <c r="H7" s="135">
        <v>130</v>
      </c>
      <c r="I7" s="136">
        <f>D7/H7-1</f>
        <v>0.10307692307692307</v>
      </c>
      <c r="J7" s="138">
        <v>87.8</v>
      </c>
      <c r="K7" s="138">
        <v>143.85</v>
      </c>
      <c r="L7" s="138">
        <v>87.8</v>
      </c>
      <c r="M7" s="136">
        <f>D7/J7-1</f>
        <v>0.63325740318906609</v>
      </c>
      <c r="N7" s="139" t="s">
        <v>20</v>
      </c>
      <c r="O7" s="139"/>
      <c r="P7" s="140"/>
      <c r="Q7" s="71"/>
      <c r="R7" s="92"/>
    </row>
    <row r="8" spans="2:19" x14ac:dyDescent="0.25">
      <c r="B8" s="88" t="s">
        <v>24</v>
      </c>
      <c r="C8" s="141" t="s">
        <v>25</v>
      </c>
      <c r="D8" s="142">
        <v>3.12</v>
      </c>
      <c r="E8" s="142">
        <v>3.12</v>
      </c>
      <c r="F8" s="143">
        <f>D8/E8-1</f>
        <v>0</v>
      </c>
      <c r="G8" s="144">
        <v>600</v>
      </c>
      <c r="H8" s="142">
        <v>3.12</v>
      </c>
      <c r="I8" s="143">
        <f>D8/H8-1</f>
        <v>0</v>
      </c>
      <c r="J8" s="145">
        <v>4.25</v>
      </c>
      <c r="K8" s="145">
        <v>4.25</v>
      </c>
      <c r="L8" s="145">
        <v>3.12</v>
      </c>
      <c r="M8" s="143">
        <f>D8/J8-1</f>
        <v>-0.26588235294117646</v>
      </c>
      <c r="N8" s="146" t="s">
        <v>26</v>
      </c>
      <c r="O8" s="146"/>
      <c r="P8" s="147"/>
      <c r="Q8" s="148"/>
      <c r="R8" s="99"/>
    </row>
    <row r="9" spans="2:19" x14ac:dyDescent="0.25">
      <c r="B9" s="88" t="s">
        <v>27</v>
      </c>
      <c r="C9" s="134" t="s">
        <v>28</v>
      </c>
      <c r="D9" s="135">
        <v>1.74</v>
      </c>
      <c r="E9" s="135">
        <v>1.68</v>
      </c>
      <c r="F9" s="136">
        <f>D9/E9-1</f>
        <v>3.5714285714285809E-2</v>
      </c>
      <c r="G9" s="137">
        <v>1768802</v>
      </c>
      <c r="H9" s="135">
        <v>1.82</v>
      </c>
      <c r="I9" s="136">
        <f>D9/H9-1</f>
        <v>-4.3956043956044022E-2</v>
      </c>
      <c r="J9" s="138">
        <v>2.0499999999999998</v>
      </c>
      <c r="K9" s="138">
        <v>2.15</v>
      </c>
      <c r="L9" s="138">
        <v>1.42</v>
      </c>
      <c r="M9" s="136">
        <f>D9/J9-1</f>
        <v>-0.15121951219512186</v>
      </c>
      <c r="N9" s="139" t="s">
        <v>20</v>
      </c>
      <c r="O9" s="139"/>
      <c r="P9" s="140"/>
      <c r="Q9" s="71"/>
      <c r="R9" s="92"/>
    </row>
    <row r="10" spans="2:19" x14ac:dyDescent="0.25">
      <c r="B10" s="88" t="s">
        <v>21</v>
      </c>
      <c r="C10" s="141" t="s">
        <v>21</v>
      </c>
      <c r="D10" s="142" t="s">
        <v>223</v>
      </c>
      <c r="E10" s="142" t="s">
        <v>223</v>
      </c>
      <c r="F10" s="143"/>
      <c r="G10" s="144" t="s">
        <v>223</v>
      </c>
      <c r="H10" s="142" t="s">
        <v>223</v>
      </c>
      <c r="I10" s="143"/>
      <c r="J10" s="145" t="s">
        <v>223</v>
      </c>
      <c r="K10" s="145"/>
      <c r="L10" s="145"/>
      <c r="M10" s="143"/>
      <c r="N10" s="146"/>
      <c r="O10" s="146"/>
      <c r="P10" s="147"/>
      <c r="Q10" s="148"/>
      <c r="R10" s="99"/>
    </row>
    <row r="11" spans="2:19" ht="11.25" customHeight="1" x14ac:dyDescent="0.25">
      <c r="B11" s="86" t="s">
        <v>29</v>
      </c>
      <c r="C11" s="126"/>
      <c r="D11" s="149" t="s">
        <v>223</v>
      </c>
      <c r="E11" s="149" t="s">
        <v>223</v>
      </c>
      <c r="F11" s="130"/>
      <c r="G11" s="150" t="s">
        <v>223</v>
      </c>
      <c r="H11" s="149" t="s">
        <v>223</v>
      </c>
      <c r="I11" s="130"/>
      <c r="J11" s="129" t="s">
        <v>223</v>
      </c>
      <c r="K11" s="129"/>
      <c r="L11" s="129"/>
      <c r="M11" s="130"/>
      <c r="N11" s="131"/>
      <c r="O11" s="131"/>
      <c r="P11" s="132"/>
      <c r="Q11" s="133"/>
      <c r="R11" s="87"/>
    </row>
    <row r="12" spans="2:19" x14ac:dyDescent="0.25">
      <c r="B12" s="88" t="s">
        <v>21</v>
      </c>
      <c r="C12" s="134" t="s">
        <v>30</v>
      </c>
      <c r="D12" s="135">
        <v>0.71</v>
      </c>
      <c r="E12" s="135">
        <v>0.71</v>
      </c>
      <c r="F12" s="136">
        <f>D12/E12-1</f>
        <v>0</v>
      </c>
      <c r="G12" s="137">
        <v>0</v>
      </c>
      <c r="H12" s="135">
        <v>0.71</v>
      </c>
      <c r="I12" s="136">
        <f>D12/H12-1</f>
        <v>0</v>
      </c>
      <c r="J12" s="138">
        <v>0.72</v>
      </c>
      <c r="K12" s="138">
        <v>0.86</v>
      </c>
      <c r="L12" s="138">
        <v>0.71</v>
      </c>
      <c r="M12" s="136">
        <f>D12/J12-1</f>
        <v>-1.3888888888888951E-2</v>
      </c>
      <c r="N12" s="139" t="s">
        <v>31</v>
      </c>
      <c r="O12" s="139"/>
      <c r="P12" s="140"/>
      <c r="Q12" s="71"/>
      <c r="R12" s="92"/>
    </row>
    <row r="13" spans="2:19" x14ac:dyDescent="0.25">
      <c r="B13" s="88" t="s">
        <v>21</v>
      </c>
      <c r="C13" s="141" t="s">
        <v>32</v>
      </c>
      <c r="D13" s="142">
        <v>1.94</v>
      </c>
      <c r="E13" s="142">
        <v>1.94</v>
      </c>
      <c r="F13" s="143">
        <f>D13/E13-1</f>
        <v>0</v>
      </c>
      <c r="G13" s="144">
        <v>46056</v>
      </c>
      <c r="H13" s="142">
        <v>1.94</v>
      </c>
      <c r="I13" s="143">
        <f>D13/H13-1</f>
        <v>0</v>
      </c>
      <c r="J13" s="145">
        <v>1.04</v>
      </c>
      <c r="K13" s="145">
        <v>2.83</v>
      </c>
      <c r="L13" s="145">
        <v>1.04</v>
      </c>
      <c r="M13" s="143">
        <f>D13/J13-1</f>
        <v>0.8653846153846152</v>
      </c>
      <c r="N13" s="146" t="s">
        <v>20</v>
      </c>
      <c r="O13" s="146"/>
      <c r="P13" s="147"/>
      <c r="Q13" s="148"/>
      <c r="R13" s="99"/>
      <c r="S13" s="100"/>
    </row>
    <row r="14" spans="2:19" x14ac:dyDescent="0.25">
      <c r="B14" s="88" t="s">
        <v>21</v>
      </c>
      <c r="C14" s="134" t="s">
        <v>33</v>
      </c>
      <c r="D14" s="135">
        <v>12</v>
      </c>
      <c r="E14" s="135">
        <v>12</v>
      </c>
      <c r="F14" s="136">
        <f>D14/E14-1</f>
        <v>0</v>
      </c>
      <c r="G14" s="137">
        <v>1222665</v>
      </c>
      <c r="H14" s="135">
        <v>11.5</v>
      </c>
      <c r="I14" s="136">
        <f>D14/H14-1</f>
        <v>4.3478260869565188E-2</v>
      </c>
      <c r="J14" s="138">
        <v>9</v>
      </c>
      <c r="K14" s="138">
        <v>12.2</v>
      </c>
      <c r="L14" s="138">
        <v>8.9</v>
      </c>
      <c r="M14" s="136">
        <f>D14/J14-1</f>
        <v>0.33333333333333326</v>
      </c>
      <c r="N14" s="139" t="s">
        <v>20</v>
      </c>
      <c r="O14" s="139"/>
      <c r="P14" s="140">
        <v>0.65</v>
      </c>
      <c r="Q14" s="71">
        <v>44720</v>
      </c>
      <c r="R14" s="92">
        <v>44735</v>
      </c>
    </row>
    <row r="15" spans="2:19" x14ac:dyDescent="0.25">
      <c r="B15" s="101"/>
      <c r="C15" s="141" t="s">
        <v>34</v>
      </c>
      <c r="D15" s="142">
        <v>1.19</v>
      </c>
      <c r="E15" s="142">
        <v>1.17</v>
      </c>
      <c r="F15" s="143">
        <f>D15/E15-1</f>
        <v>1.7094017094017033E-2</v>
      </c>
      <c r="G15" s="144">
        <v>36078830</v>
      </c>
      <c r="H15" s="142">
        <v>1.1200000000000001</v>
      </c>
      <c r="I15" s="143">
        <f>D15/H15-1</f>
        <v>6.2499999999999778E-2</v>
      </c>
      <c r="J15" s="145">
        <f>0.98-0.02</f>
        <v>0.96</v>
      </c>
      <c r="K15" s="145">
        <v>1.26</v>
      </c>
      <c r="L15" s="145">
        <v>0.96</v>
      </c>
      <c r="M15" s="143">
        <f>D15/J15-1</f>
        <v>0.23958333333333326</v>
      </c>
      <c r="N15" s="146" t="s">
        <v>20</v>
      </c>
      <c r="O15" s="146" t="s">
        <v>257</v>
      </c>
      <c r="P15" s="147">
        <v>0.02</v>
      </c>
      <c r="Q15" s="148">
        <v>44662</v>
      </c>
      <c r="R15" s="99">
        <v>44673</v>
      </c>
    </row>
    <row r="16" spans="2:19" x14ac:dyDescent="0.25">
      <c r="B16" s="88" t="s">
        <v>21</v>
      </c>
      <c r="C16" s="104"/>
      <c r="D16" s="105"/>
      <c r="E16" s="105"/>
      <c r="F16" s="106"/>
      <c r="G16" s="107"/>
      <c r="H16" s="105"/>
      <c r="I16" s="106"/>
      <c r="J16" s="108"/>
      <c r="K16" s="108"/>
      <c r="L16" s="108"/>
      <c r="M16" s="106"/>
      <c r="N16" s="109"/>
      <c r="O16" s="109"/>
      <c r="P16" s="110"/>
      <c r="Q16" s="103"/>
      <c r="R16" s="102"/>
    </row>
    <row r="17" spans="2:18" x14ac:dyDescent="0.25">
      <c r="B17" s="86" t="s">
        <v>35</v>
      </c>
      <c r="C17" s="126"/>
      <c r="D17" s="149" t="s">
        <v>223</v>
      </c>
      <c r="E17" s="149" t="s">
        <v>223</v>
      </c>
      <c r="F17" s="130"/>
      <c r="G17" s="150"/>
      <c r="H17" s="149" t="s">
        <v>223</v>
      </c>
      <c r="I17" s="130"/>
      <c r="J17" s="129" t="s">
        <v>223</v>
      </c>
      <c r="K17" s="129"/>
      <c r="L17" s="129"/>
      <c r="M17" s="130"/>
      <c r="N17" s="131"/>
      <c r="O17" s="131"/>
      <c r="P17" s="132"/>
      <c r="Q17" s="133"/>
      <c r="R17" s="87"/>
    </row>
    <row r="18" spans="2:18" x14ac:dyDescent="0.25">
      <c r="B18" s="88" t="s">
        <v>36</v>
      </c>
      <c r="C18" s="134" t="s">
        <v>37</v>
      </c>
      <c r="D18" s="135">
        <v>1.03</v>
      </c>
      <c r="E18" s="135">
        <v>1.03</v>
      </c>
      <c r="F18" s="136">
        <f t="shared" ref="F18:F23" si="0">D18/E18-1</f>
        <v>0</v>
      </c>
      <c r="G18" s="137">
        <v>0</v>
      </c>
      <c r="H18" s="135">
        <v>1.03</v>
      </c>
      <c r="I18" s="136">
        <f t="shared" ref="I18:I23" si="1">D18/H18-1</f>
        <v>0</v>
      </c>
      <c r="J18" s="138">
        <v>1.03</v>
      </c>
      <c r="K18" s="138">
        <v>1.03</v>
      </c>
      <c r="L18" s="138">
        <v>1.03</v>
      </c>
      <c r="M18" s="136">
        <f t="shared" ref="M18:M23" si="2">D18/J18-1</f>
        <v>0</v>
      </c>
      <c r="N18" s="139" t="s">
        <v>20</v>
      </c>
      <c r="O18" s="139"/>
      <c r="P18" s="140"/>
      <c r="Q18" s="71"/>
      <c r="R18" s="92"/>
    </row>
    <row r="19" spans="2:18" x14ac:dyDescent="0.25">
      <c r="B19" s="88" t="s">
        <v>38</v>
      </c>
      <c r="C19" s="141" t="s">
        <v>39</v>
      </c>
      <c r="D19" s="142">
        <v>30.4</v>
      </c>
      <c r="E19" s="142">
        <v>27.8</v>
      </c>
      <c r="F19" s="143">
        <f t="shared" si="0"/>
        <v>9.3525179856114971E-2</v>
      </c>
      <c r="G19" s="144">
        <v>1883000</v>
      </c>
      <c r="H19" s="142">
        <v>28.5</v>
      </c>
      <c r="I19" s="143">
        <f t="shared" si="1"/>
        <v>6.6666666666666652E-2</v>
      </c>
      <c r="J19" s="145">
        <v>22.35</v>
      </c>
      <c r="K19" s="145">
        <v>30.4</v>
      </c>
      <c r="L19" s="145">
        <v>21.8</v>
      </c>
      <c r="M19" s="143">
        <f t="shared" si="2"/>
        <v>0.36017897091722584</v>
      </c>
      <c r="N19" s="146" t="s">
        <v>20</v>
      </c>
      <c r="O19" s="151"/>
      <c r="P19" s="147">
        <v>2.5</v>
      </c>
      <c r="Q19" s="148">
        <v>44711</v>
      </c>
      <c r="R19" s="99">
        <v>44729</v>
      </c>
    </row>
    <row r="20" spans="2:18" x14ac:dyDescent="0.25">
      <c r="B20" s="88" t="s">
        <v>41</v>
      </c>
      <c r="C20" s="104" t="s">
        <v>233</v>
      </c>
      <c r="D20" s="105">
        <v>1.07</v>
      </c>
      <c r="E20" s="105">
        <v>1.04</v>
      </c>
      <c r="F20" s="106">
        <f t="shared" si="0"/>
        <v>2.8846153846153966E-2</v>
      </c>
      <c r="G20" s="107">
        <v>2925400</v>
      </c>
      <c r="H20" s="105">
        <v>0.85</v>
      </c>
      <c r="I20" s="106">
        <f t="shared" si="1"/>
        <v>0.2588235294117649</v>
      </c>
      <c r="J20" s="108">
        <v>1.1499999999999999</v>
      </c>
      <c r="K20" s="108">
        <v>1.22</v>
      </c>
      <c r="L20" s="108">
        <v>0.76</v>
      </c>
      <c r="M20" s="106">
        <f t="shared" si="2"/>
        <v>-6.9565217391304168E-2</v>
      </c>
      <c r="N20" s="109" t="s">
        <v>20</v>
      </c>
      <c r="O20" s="109"/>
      <c r="P20" s="110"/>
      <c r="Q20" s="103"/>
      <c r="R20" s="102"/>
    </row>
    <row r="21" spans="2:18" x14ac:dyDescent="0.25">
      <c r="B21" s="88" t="s">
        <v>42</v>
      </c>
      <c r="C21" s="141" t="s">
        <v>227</v>
      </c>
      <c r="D21" s="142">
        <v>77</v>
      </c>
      <c r="E21" s="142">
        <v>77</v>
      </c>
      <c r="F21" s="143">
        <f t="shared" si="0"/>
        <v>0</v>
      </c>
      <c r="G21" s="144">
        <v>0</v>
      </c>
      <c r="H21" s="142">
        <v>77</v>
      </c>
      <c r="I21" s="143">
        <f t="shared" si="1"/>
        <v>0</v>
      </c>
      <c r="J21" s="145">
        <v>67.900000000000006</v>
      </c>
      <c r="K21" s="145">
        <v>77</v>
      </c>
      <c r="L21" s="145">
        <v>67.900000000000006</v>
      </c>
      <c r="M21" s="143">
        <f t="shared" si="2"/>
        <v>0.134020618556701</v>
      </c>
      <c r="N21" s="146" t="s">
        <v>20</v>
      </c>
      <c r="O21" s="146"/>
      <c r="P21" s="147"/>
      <c r="Q21" s="148"/>
      <c r="R21" s="99"/>
    </row>
    <row r="22" spans="2:18" x14ac:dyDescent="0.25">
      <c r="B22" s="88" t="s">
        <v>21</v>
      </c>
      <c r="C22" s="104" t="s">
        <v>43</v>
      </c>
      <c r="D22" s="105">
        <v>36.6</v>
      </c>
      <c r="E22" s="105">
        <v>36.6</v>
      </c>
      <c r="F22" s="106">
        <f t="shared" si="0"/>
        <v>0</v>
      </c>
      <c r="G22" s="107">
        <v>0</v>
      </c>
      <c r="H22" s="105">
        <v>36.6</v>
      </c>
      <c r="I22" s="106">
        <f t="shared" si="1"/>
        <v>0</v>
      </c>
      <c r="J22" s="108">
        <v>36.6</v>
      </c>
      <c r="K22" s="108">
        <v>36.6</v>
      </c>
      <c r="L22" s="108">
        <v>36.6</v>
      </c>
      <c r="M22" s="106">
        <f t="shared" si="2"/>
        <v>0</v>
      </c>
      <c r="N22" s="109" t="s">
        <v>40</v>
      </c>
      <c r="O22" s="109"/>
      <c r="P22" s="110"/>
      <c r="Q22" s="103"/>
      <c r="R22" s="102"/>
    </row>
    <row r="23" spans="2:18" x14ac:dyDescent="0.25">
      <c r="B23" s="88"/>
      <c r="C23" s="141" t="s">
        <v>44</v>
      </c>
      <c r="D23" s="142">
        <v>3.85</v>
      </c>
      <c r="E23" s="142">
        <v>3.85</v>
      </c>
      <c r="F23" s="143">
        <f t="shared" si="0"/>
        <v>0</v>
      </c>
      <c r="G23" s="144">
        <v>15810</v>
      </c>
      <c r="H23" s="142">
        <v>3.85</v>
      </c>
      <c r="I23" s="143">
        <f t="shared" si="1"/>
        <v>0</v>
      </c>
      <c r="J23" s="145">
        <v>4.45</v>
      </c>
      <c r="K23" s="145">
        <v>4.45</v>
      </c>
      <c r="L23" s="145">
        <v>3.3</v>
      </c>
      <c r="M23" s="143">
        <f t="shared" si="2"/>
        <v>-0.1348314606741573</v>
      </c>
      <c r="N23" s="146" t="s">
        <v>20</v>
      </c>
      <c r="O23" s="146"/>
      <c r="P23" s="147"/>
      <c r="Q23" s="148"/>
      <c r="R23" s="99"/>
    </row>
    <row r="24" spans="2:18" x14ac:dyDescent="0.25">
      <c r="B24" s="88"/>
      <c r="C24" s="104" t="s">
        <v>21</v>
      </c>
      <c r="D24" s="105" t="s">
        <v>223</v>
      </c>
      <c r="E24" s="105" t="s">
        <v>223</v>
      </c>
      <c r="F24" s="106"/>
      <c r="G24" s="107"/>
      <c r="H24" s="105" t="s">
        <v>223</v>
      </c>
      <c r="I24" s="106"/>
      <c r="J24" s="108" t="s">
        <v>223</v>
      </c>
      <c r="K24" s="108"/>
      <c r="L24" s="108"/>
      <c r="M24" s="106"/>
      <c r="N24" s="109"/>
      <c r="O24" s="109"/>
      <c r="P24" s="110"/>
      <c r="Q24" s="103"/>
      <c r="R24" s="102"/>
    </row>
    <row r="25" spans="2:18" x14ac:dyDescent="0.25">
      <c r="B25" s="86" t="s">
        <v>45</v>
      </c>
      <c r="C25" s="126"/>
      <c r="D25" s="149" t="s">
        <v>223</v>
      </c>
      <c r="E25" s="149" t="s">
        <v>223</v>
      </c>
      <c r="F25" s="130"/>
      <c r="G25" s="150"/>
      <c r="H25" s="149" t="s">
        <v>223</v>
      </c>
      <c r="I25" s="130"/>
      <c r="J25" s="129" t="s">
        <v>223</v>
      </c>
      <c r="K25" s="129"/>
      <c r="L25" s="129"/>
      <c r="M25" s="130"/>
      <c r="N25" s="131"/>
      <c r="O25" s="131"/>
      <c r="P25" s="132"/>
      <c r="Q25" s="133"/>
      <c r="R25" s="87"/>
    </row>
    <row r="26" spans="2:18" x14ac:dyDescent="0.25">
      <c r="B26" s="88" t="s">
        <v>46</v>
      </c>
      <c r="C26" s="134" t="s">
        <v>47</v>
      </c>
      <c r="D26" s="135">
        <v>0.5</v>
      </c>
      <c r="E26" s="135">
        <v>0.5</v>
      </c>
      <c r="F26" s="136">
        <f t="shared" ref="F26:F47" si="3">D26/E26-1</f>
        <v>0</v>
      </c>
      <c r="G26" s="137">
        <v>0</v>
      </c>
      <c r="H26" s="135">
        <v>0.5</v>
      </c>
      <c r="I26" s="136">
        <f t="shared" ref="I26:I47" si="4">D26/H26-1</f>
        <v>0</v>
      </c>
      <c r="J26" s="138">
        <v>0.5</v>
      </c>
      <c r="K26" s="138">
        <v>0.5</v>
      </c>
      <c r="L26" s="138">
        <v>0.5</v>
      </c>
      <c r="M26" s="136">
        <f t="shared" ref="M26:M47" si="5">D26/J26-1</f>
        <v>0</v>
      </c>
      <c r="N26" s="139" t="s">
        <v>20</v>
      </c>
      <c r="O26" s="139"/>
      <c r="P26" s="140"/>
      <c r="Q26" s="71"/>
      <c r="R26" s="92"/>
    </row>
    <row r="27" spans="2:18" x14ac:dyDescent="0.25">
      <c r="B27" s="88" t="s">
        <v>48</v>
      </c>
      <c r="C27" s="141" t="s">
        <v>49</v>
      </c>
      <c r="D27" s="142">
        <v>2.52</v>
      </c>
      <c r="E27" s="142">
        <v>2.2999999999999998</v>
      </c>
      <c r="F27" s="143">
        <f t="shared" si="3"/>
        <v>9.5652173913043592E-2</v>
      </c>
      <c r="G27" s="144">
        <v>2200086</v>
      </c>
      <c r="H27" s="142">
        <v>2.25</v>
      </c>
      <c r="I27" s="143">
        <f t="shared" si="4"/>
        <v>0.12000000000000011</v>
      </c>
      <c r="J27" s="145">
        <v>2.35</v>
      </c>
      <c r="K27" s="145">
        <v>2.5499999999999998</v>
      </c>
      <c r="L27" s="145">
        <v>1.87</v>
      </c>
      <c r="M27" s="143">
        <f t="shared" si="5"/>
        <v>7.2340425531914887E-2</v>
      </c>
      <c r="N27" s="146" t="s">
        <v>20</v>
      </c>
      <c r="O27" s="146"/>
      <c r="P27" s="147"/>
      <c r="Q27" s="148"/>
      <c r="R27" s="99"/>
    </row>
    <row r="28" spans="2:18" x14ac:dyDescent="0.25">
      <c r="B28" s="88" t="s">
        <v>21</v>
      </c>
      <c r="C28" s="134" t="s">
        <v>50</v>
      </c>
      <c r="D28" s="135">
        <v>0.81</v>
      </c>
      <c r="E28" s="135">
        <v>0.81</v>
      </c>
      <c r="F28" s="136">
        <f t="shared" si="3"/>
        <v>0</v>
      </c>
      <c r="G28" s="137">
        <v>0</v>
      </c>
      <c r="H28" s="135">
        <v>0.81</v>
      </c>
      <c r="I28" s="136">
        <f t="shared" si="4"/>
        <v>0</v>
      </c>
      <c r="J28" s="138">
        <v>0.81</v>
      </c>
      <c r="K28" s="138">
        <v>0.81</v>
      </c>
      <c r="L28" s="138">
        <v>0.81</v>
      </c>
      <c r="M28" s="136">
        <f t="shared" si="5"/>
        <v>0</v>
      </c>
      <c r="N28" s="139" t="s">
        <v>20</v>
      </c>
      <c r="O28" s="139"/>
      <c r="P28" s="140"/>
      <c r="Q28" s="71"/>
      <c r="R28" s="92"/>
    </row>
    <row r="29" spans="2:18" x14ac:dyDescent="0.25">
      <c r="B29" s="88" t="s">
        <v>21</v>
      </c>
      <c r="C29" s="141" t="s">
        <v>51</v>
      </c>
      <c r="D29" s="142">
        <v>93</v>
      </c>
      <c r="E29" s="142">
        <v>93</v>
      </c>
      <c r="F29" s="143">
        <f t="shared" si="3"/>
        <v>0</v>
      </c>
      <c r="G29" s="144">
        <v>386403</v>
      </c>
      <c r="H29" s="142">
        <v>82.25</v>
      </c>
      <c r="I29" s="143">
        <f t="shared" si="4"/>
        <v>0.1306990881458967</v>
      </c>
      <c r="J29" s="145">
        <v>39</v>
      </c>
      <c r="K29" s="145">
        <v>93</v>
      </c>
      <c r="L29" s="145">
        <v>39</v>
      </c>
      <c r="M29" s="143">
        <f t="shared" si="5"/>
        <v>1.3846153846153846</v>
      </c>
      <c r="N29" s="146" t="s">
        <v>52</v>
      </c>
      <c r="O29" s="146"/>
      <c r="P29" s="147"/>
      <c r="Q29" s="148"/>
      <c r="R29" s="99"/>
    </row>
    <row r="30" spans="2:18" x14ac:dyDescent="0.25">
      <c r="B30" s="88" t="s">
        <v>21</v>
      </c>
      <c r="C30" s="134" t="s">
        <v>53</v>
      </c>
      <c r="D30" s="135">
        <v>5.0999999999999996</v>
      </c>
      <c r="E30" s="135">
        <v>5.0999999999999996</v>
      </c>
      <c r="F30" s="136">
        <f t="shared" si="3"/>
        <v>0</v>
      </c>
      <c r="G30" s="137">
        <v>3009423</v>
      </c>
      <c r="H30" s="135">
        <v>5.6</v>
      </c>
      <c r="I30" s="136">
        <f t="shared" si="4"/>
        <v>-8.9285714285714302E-2</v>
      </c>
      <c r="J30" s="138">
        <v>4.95</v>
      </c>
      <c r="K30" s="138">
        <v>6</v>
      </c>
      <c r="L30" s="138">
        <v>4.4000000000000004</v>
      </c>
      <c r="M30" s="136">
        <f t="shared" si="5"/>
        <v>3.0303030303030276E-2</v>
      </c>
      <c r="N30" s="139" t="s">
        <v>20</v>
      </c>
      <c r="O30" s="139"/>
      <c r="P30" s="140"/>
      <c r="Q30" s="71"/>
      <c r="R30" s="92"/>
    </row>
    <row r="31" spans="2:18" x14ac:dyDescent="0.25">
      <c r="B31" s="88" t="s">
        <v>21</v>
      </c>
      <c r="C31" s="141" t="s">
        <v>54</v>
      </c>
      <c r="D31" s="142">
        <v>57.1</v>
      </c>
      <c r="E31" s="142">
        <v>57.05</v>
      </c>
      <c r="F31" s="143">
        <f t="shared" si="3"/>
        <v>8.7642418930777843E-4</v>
      </c>
      <c r="G31" s="144">
        <v>7449570</v>
      </c>
      <c r="H31" s="142">
        <v>53.5</v>
      </c>
      <c r="I31" s="143">
        <f t="shared" si="4"/>
        <v>6.7289719626168143E-2</v>
      </c>
      <c r="J31" s="145">
        <f>48-1.2</f>
        <v>46.8</v>
      </c>
      <c r="K31" s="145">
        <v>58</v>
      </c>
      <c r="L31" s="145">
        <v>40</v>
      </c>
      <c r="M31" s="143">
        <f t="shared" si="5"/>
        <v>0.22008547008547019</v>
      </c>
      <c r="N31" s="146" t="s">
        <v>20</v>
      </c>
      <c r="O31" s="146" t="s">
        <v>257</v>
      </c>
      <c r="P31" s="147">
        <v>1.2</v>
      </c>
      <c r="Q31" s="148" t="s">
        <v>259</v>
      </c>
      <c r="R31" s="99">
        <v>44673</v>
      </c>
    </row>
    <row r="32" spans="2:18" x14ac:dyDescent="0.25">
      <c r="B32" s="88" t="s">
        <v>55</v>
      </c>
      <c r="C32" s="134" t="s">
        <v>56</v>
      </c>
      <c r="D32" s="135">
        <v>2.0299999999999998</v>
      </c>
      <c r="E32" s="135">
        <v>2.0299999999999998</v>
      </c>
      <c r="F32" s="136">
        <f t="shared" si="3"/>
        <v>0</v>
      </c>
      <c r="G32" s="137">
        <v>0</v>
      </c>
      <c r="H32" s="135">
        <v>2.0299999999999998</v>
      </c>
      <c r="I32" s="136">
        <f t="shared" si="4"/>
        <v>0</v>
      </c>
      <c r="J32" s="138">
        <v>2.0299999999999998</v>
      </c>
      <c r="K32" s="138">
        <v>2.0299999999999998</v>
      </c>
      <c r="L32" s="138">
        <v>2.0299999999999998</v>
      </c>
      <c r="M32" s="136">
        <f t="shared" si="5"/>
        <v>0</v>
      </c>
      <c r="N32" s="139" t="s">
        <v>20</v>
      </c>
      <c r="O32" s="139"/>
      <c r="P32" s="140"/>
      <c r="Q32" s="71"/>
      <c r="R32" s="92"/>
    </row>
    <row r="33" spans="2:18" x14ac:dyDescent="0.25">
      <c r="B33" s="88" t="s">
        <v>57</v>
      </c>
      <c r="C33" s="141" t="s">
        <v>256</v>
      </c>
      <c r="D33" s="142">
        <v>59.5</v>
      </c>
      <c r="E33" s="142">
        <v>59.5</v>
      </c>
      <c r="F33" s="143">
        <f t="shared" si="3"/>
        <v>0</v>
      </c>
      <c r="G33" s="144">
        <v>625645</v>
      </c>
      <c r="H33" s="142">
        <v>59.5</v>
      </c>
      <c r="I33" s="143">
        <f t="shared" si="4"/>
        <v>0</v>
      </c>
      <c r="J33" s="145">
        <v>40</v>
      </c>
      <c r="K33" s="145">
        <v>66</v>
      </c>
      <c r="L33" s="145">
        <v>40</v>
      </c>
      <c r="M33" s="143">
        <f t="shared" si="5"/>
        <v>0.48750000000000004</v>
      </c>
      <c r="N33" s="146" t="s">
        <v>20</v>
      </c>
      <c r="O33" s="146" t="s">
        <v>257</v>
      </c>
      <c r="P33" s="147">
        <v>3.5</v>
      </c>
      <c r="Q33" s="148">
        <v>44756</v>
      </c>
      <c r="R33" s="99">
        <v>44777</v>
      </c>
    </row>
    <row r="34" spans="2:18" x14ac:dyDescent="0.25">
      <c r="B34" s="88" t="s">
        <v>21</v>
      </c>
      <c r="C34" s="134" t="s">
        <v>58</v>
      </c>
      <c r="D34" s="135">
        <v>10.25</v>
      </c>
      <c r="E34" s="135">
        <v>9.35</v>
      </c>
      <c r="F34" s="136">
        <f t="shared" si="3"/>
        <v>9.625668449197855E-2</v>
      </c>
      <c r="G34" s="137">
        <v>1419218</v>
      </c>
      <c r="H34" s="135">
        <v>8.4</v>
      </c>
      <c r="I34" s="136">
        <f t="shared" si="4"/>
        <v>0.22023809523809512</v>
      </c>
      <c r="J34" s="138">
        <v>8.8000000000000007</v>
      </c>
      <c r="K34" s="138">
        <v>10.25</v>
      </c>
      <c r="L34" s="138">
        <v>7.75</v>
      </c>
      <c r="M34" s="136">
        <f t="shared" si="5"/>
        <v>0.16477272727272707</v>
      </c>
      <c r="N34" s="139" t="s">
        <v>20</v>
      </c>
      <c r="O34" s="139"/>
      <c r="P34" s="140"/>
      <c r="Q34" s="71"/>
      <c r="R34" s="92"/>
    </row>
    <row r="35" spans="2:18" x14ac:dyDescent="0.25">
      <c r="B35" s="88" t="s">
        <v>21</v>
      </c>
      <c r="C35" s="141" t="s">
        <v>59</v>
      </c>
      <c r="D35" s="142">
        <v>1440</v>
      </c>
      <c r="E35" s="142">
        <v>1395</v>
      </c>
      <c r="F35" s="143">
        <f t="shared" si="3"/>
        <v>3.2258064516129004E-2</v>
      </c>
      <c r="G35" s="144">
        <v>105636</v>
      </c>
      <c r="H35" s="142">
        <v>1395</v>
      </c>
      <c r="I35" s="143">
        <f t="shared" si="4"/>
        <v>3.2258064516129004E-2</v>
      </c>
      <c r="J35" s="145">
        <v>1556.5</v>
      </c>
      <c r="K35" s="145">
        <v>1556.5</v>
      </c>
      <c r="L35" s="145">
        <v>1395</v>
      </c>
      <c r="M35" s="143">
        <f t="shared" si="5"/>
        <v>-7.4847414070028928E-2</v>
      </c>
      <c r="N35" s="146" t="s">
        <v>20</v>
      </c>
      <c r="O35" s="146" t="s">
        <v>257</v>
      </c>
      <c r="P35" s="147">
        <v>25.5</v>
      </c>
      <c r="Q35" s="148">
        <v>44711</v>
      </c>
      <c r="R35" s="99">
        <v>44742</v>
      </c>
    </row>
    <row r="36" spans="2:18" x14ac:dyDescent="0.25">
      <c r="B36" s="88" t="s">
        <v>21</v>
      </c>
      <c r="C36" s="134" t="s">
        <v>60</v>
      </c>
      <c r="D36" s="135">
        <v>16.2</v>
      </c>
      <c r="E36" s="135">
        <v>16.95</v>
      </c>
      <c r="F36" s="136">
        <f t="shared" si="3"/>
        <v>-4.4247787610619427E-2</v>
      </c>
      <c r="G36" s="137">
        <v>5509520</v>
      </c>
      <c r="H36" s="135">
        <v>16</v>
      </c>
      <c r="I36" s="136">
        <f t="shared" si="4"/>
        <v>1.2499999999999956E-2</v>
      </c>
      <c r="J36" s="138">
        <v>16.95</v>
      </c>
      <c r="K36" s="138">
        <v>18.3</v>
      </c>
      <c r="L36" s="138">
        <v>15.5</v>
      </c>
      <c r="M36" s="136">
        <f t="shared" si="5"/>
        <v>-4.4247787610619427E-2</v>
      </c>
      <c r="N36" s="139" t="s">
        <v>20</v>
      </c>
      <c r="O36" s="139" t="s">
        <v>257</v>
      </c>
      <c r="P36" s="140">
        <v>1</v>
      </c>
      <c r="Q36" s="71" t="s">
        <v>260</v>
      </c>
      <c r="R36" s="92">
        <v>44728</v>
      </c>
    </row>
    <row r="37" spans="2:18" x14ac:dyDescent="0.25">
      <c r="B37" s="88" t="s">
        <v>21</v>
      </c>
      <c r="C37" s="141" t="s">
        <v>61</v>
      </c>
      <c r="D37" s="142">
        <v>33.1</v>
      </c>
      <c r="E37" s="142">
        <v>33</v>
      </c>
      <c r="F37" s="143">
        <f t="shared" si="3"/>
        <v>3.0303030303031608E-3</v>
      </c>
      <c r="G37" s="144">
        <v>441441</v>
      </c>
      <c r="H37" s="142">
        <v>32</v>
      </c>
      <c r="I37" s="143">
        <f t="shared" si="4"/>
        <v>3.4375000000000044E-2</v>
      </c>
      <c r="J37" s="145">
        <v>29</v>
      </c>
      <c r="K37" s="145">
        <v>35.1</v>
      </c>
      <c r="L37" s="145">
        <v>28.1</v>
      </c>
      <c r="M37" s="143">
        <f t="shared" si="5"/>
        <v>0.14137931034482754</v>
      </c>
      <c r="N37" s="146" t="s">
        <v>40</v>
      </c>
      <c r="O37" s="146"/>
      <c r="P37" s="147"/>
      <c r="Q37" s="148"/>
      <c r="R37" s="99"/>
    </row>
    <row r="38" spans="2:18" x14ac:dyDescent="0.25">
      <c r="B38" s="88" t="s">
        <v>21</v>
      </c>
      <c r="C38" s="134" t="s">
        <v>62</v>
      </c>
      <c r="D38" s="135">
        <v>3.7</v>
      </c>
      <c r="E38" s="135">
        <v>3.7</v>
      </c>
      <c r="F38" s="136">
        <f t="shared" si="3"/>
        <v>0</v>
      </c>
      <c r="G38" s="137">
        <v>441441</v>
      </c>
      <c r="H38" s="135">
        <v>3.89</v>
      </c>
      <c r="I38" s="136">
        <f t="shared" si="4"/>
        <v>-4.8843187660668419E-2</v>
      </c>
      <c r="J38" s="138">
        <v>3.4</v>
      </c>
      <c r="K38" s="138">
        <v>4.0199999999999996</v>
      </c>
      <c r="L38" s="138">
        <v>3.2</v>
      </c>
      <c r="M38" s="136">
        <f t="shared" si="5"/>
        <v>8.8235294117647189E-2</v>
      </c>
      <c r="N38" s="139" t="s">
        <v>40</v>
      </c>
      <c r="O38" s="139"/>
      <c r="P38" s="140"/>
      <c r="Q38" s="71"/>
      <c r="R38" s="92"/>
    </row>
    <row r="39" spans="2:18" x14ac:dyDescent="0.25">
      <c r="B39" s="88" t="s">
        <v>21</v>
      </c>
      <c r="C39" s="141" t="s">
        <v>63</v>
      </c>
      <c r="D39" s="142">
        <v>0.36</v>
      </c>
      <c r="E39" s="142">
        <v>0.36</v>
      </c>
      <c r="F39" s="143">
        <f t="shared" si="3"/>
        <v>0</v>
      </c>
      <c r="G39" s="144">
        <v>0</v>
      </c>
      <c r="H39" s="142">
        <v>0.36</v>
      </c>
      <c r="I39" s="143">
        <f t="shared" si="4"/>
        <v>0</v>
      </c>
      <c r="J39" s="145">
        <v>0.36</v>
      </c>
      <c r="K39" s="145">
        <v>0.36</v>
      </c>
      <c r="L39" s="145">
        <v>0.36</v>
      </c>
      <c r="M39" s="143">
        <f t="shared" si="5"/>
        <v>0</v>
      </c>
      <c r="N39" s="146" t="s">
        <v>20</v>
      </c>
      <c r="O39" s="146"/>
      <c r="P39" s="147"/>
      <c r="Q39" s="148"/>
      <c r="R39" s="99"/>
    </row>
    <row r="40" spans="2:18" x14ac:dyDescent="0.25">
      <c r="B40" s="88" t="s">
        <v>21</v>
      </c>
      <c r="C40" s="134" t="s">
        <v>251</v>
      </c>
      <c r="D40" s="135">
        <v>13</v>
      </c>
      <c r="E40" s="135">
        <v>12</v>
      </c>
      <c r="F40" s="136">
        <f t="shared" si="3"/>
        <v>8.3333333333333259E-2</v>
      </c>
      <c r="G40" s="137">
        <v>832425</v>
      </c>
      <c r="H40" s="135">
        <v>12</v>
      </c>
      <c r="I40" s="136">
        <f t="shared" si="4"/>
        <v>8.3333333333333259E-2</v>
      </c>
      <c r="J40" s="138">
        <v>13.2</v>
      </c>
      <c r="K40" s="138">
        <v>14.5</v>
      </c>
      <c r="L40" s="138">
        <v>11.7</v>
      </c>
      <c r="M40" s="136">
        <f t="shared" si="5"/>
        <v>-1.5151515151515138E-2</v>
      </c>
      <c r="N40" s="139" t="s">
        <v>20</v>
      </c>
      <c r="O40" s="139" t="s">
        <v>257</v>
      </c>
      <c r="P40" s="140">
        <v>0.4</v>
      </c>
      <c r="Q40" s="71" t="s">
        <v>261</v>
      </c>
      <c r="R40" s="92" t="s">
        <v>265</v>
      </c>
    </row>
    <row r="41" spans="2:18" x14ac:dyDescent="0.25">
      <c r="B41" s="88" t="s">
        <v>21</v>
      </c>
      <c r="C41" s="141" t="s">
        <v>64</v>
      </c>
      <c r="D41" s="142">
        <v>9.65</v>
      </c>
      <c r="E41" s="142">
        <v>9.65</v>
      </c>
      <c r="F41" s="143">
        <f t="shared" si="3"/>
        <v>0</v>
      </c>
      <c r="G41" s="144">
        <v>4720</v>
      </c>
      <c r="H41" s="142">
        <v>9.65</v>
      </c>
      <c r="I41" s="143">
        <f t="shared" si="4"/>
        <v>0</v>
      </c>
      <c r="J41" s="145">
        <v>7.2</v>
      </c>
      <c r="K41" s="145">
        <v>10.85</v>
      </c>
      <c r="L41" s="145">
        <v>6.55</v>
      </c>
      <c r="M41" s="143">
        <f t="shared" si="5"/>
        <v>0.3402777777777779</v>
      </c>
      <c r="N41" s="146" t="s">
        <v>40</v>
      </c>
      <c r="O41" s="146"/>
      <c r="P41" s="147"/>
      <c r="Q41" s="148"/>
      <c r="R41" s="99"/>
    </row>
    <row r="42" spans="2:18" x14ac:dyDescent="0.25">
      <c r="B42" s="88" t="s">
        <v>66</v>
      </c>
      <c r="C42" s="134" t="s">
        <v>65</v>
      </c>
      <c r="D42" s="135">
        <v>8.9499999999999993</v>
      </c>
      <c r="E42" s="135">
        <v>8.9499999999999993</v>
      </c>
      <c r="F42" s="136">
        <f t="shared" si="3"/>
        <v>0</v>
      </c>
      <c r="G42" s="137">
        <v>250</v>
      </c>
      <c r="H42" s="135">
        <v>8.9499999999999993</v>
      </c>
      <c r="I42" s="136">
        <f t="shared" si="4"/>
        <v>0</v>
      </c>
      <c r="J42" s="138">
        <v>9.9</v>
      </c>
      <c r="K42" s="138">
        <v>9.9</v>
      </c>
      <c r="L42" s="138">
        <v>8.9499999999999993</v>
      </c>
      <c r="M42" s="136">
        <f t="shared" si="5"/>
        <v>-9.5959595959596022E-2</v>
      </c>
      <c r="N42" s="139" t="s">
        <v>20</v>
      </c>
      <c r="O42" s="139"/>
      <c r="P42" s="140"/>
      <c r="Q42" s="71"/>
      <c r="R42" s="92"/>
    </row>
    <row r="43" spans="2:18" x14ac:dyDescent="0.25">
      <c r="B43" s="88" t="s">
        <v>21</v>
      </c>
      <c r="C43" s="141" t="s">
        <v>67</v>
      </c>
      <c r="D43" s="142">
        <v>58.2</v>
      </c>
      <c r="E43" s="142">
        <v>58.2</v>
      </c>
      <c r="F43" s="143">
        <f t="shared" si="3"/>
        <v>0</v>
      </c>
      <c r="G43" s="144">
        <v>25748</v>
      </c>
      <c r="H43" s="142">
        <v>58.2</v>
      </c>
      <c r="I43" s="143">
        <f t="shared" si="4"/>
        <v>0</v>
      </c>
      <c r="J43" s="145">
        <v>52.95</v>
      </c>
      <c r="K43" s="145">
        <v>58.2</v>
      </c>
      <c r="L43" s="145">
        <v>52.95</v>
      </c>
      <c r="M43" s="143">
        <f t="shared" si="5"/>
        <v>9.9150141643059575E-2</v>
      </c>
      <c r="N43" s="146" t="s">
        <v>20</v>
      </c>
      <c r="O43" s="146"/>
      <c r="P43" s="147">
        <v>1.1000000000000001</v>
      </c>
      <c r="Q43" s="148">
        <v>44725</v>
      </c>
      <c r="R43" s="99">
        <v>44748</v>
      </c>
    </row>
    <row r="44" spans="2:18" x14ac:dyDescent="0.25">
      <c r="B44" s="88" t="s">
        <v>21</v>
      </c>
      <c r="C44" s="134" t="s">
        <v>68</v>
      </c>
      <c r="D44" s="135">
        <v>16.2</v>
      </c>
      <c r="E44" s="135">
        <v>16.2</v>
      </c>
      <c r="F44" s="136">
        <f t="shared" si="3"/>
        <v>0</v>
      </c>
      <c r="G44" s="137">
        <v>0</v>
      </c>
      <c r="H44" s="135">
        <v>16.2</v>
      </c>
      <c r="I44" s="136">
        <f t="shared" si="4"/>
        <v>0</v>
      </c>
      <c r="J44" s="138">
        <v>16.2</v>
      </c>
      <c r="K44" s="138">
        <v>16.2</v>
      </c>
      <c r="L44" s="138">
        <v>16.2</v>
      </c>
      <c r="M44" s="136">
        <f t="shared" si="5"/>
        <v>0</v>
      </c>
      <c r="N44" s="139" t="s">
        <v>69</v>
      </c>
      <c r="O44" s="139"/>
      <c r="P44" s="140"/>
      <c r="Q44" s="71"/>
      <c r="R44" s="92"/>
    </row>
    <row r="45" spans="2:18" x14ac:dyDescent="0.25">
      <c r="B45" s="88" t="s">
        <v>71</v>
      </c>
      <c r="C45" s="141" t="s">
        <v>70</v>
      </c>
      <c r="D45" s="142">
        <v>24.25</v>
      </c>
      <c r="E45" s="142">
        <v>23.15</v>
      </c>
      <c r="F45" s="143">
        <f t="shared" si="3"/>
        <v>4.7516198704103729E-2</v>
      </c>
      <c r="G45" s="144">
        <v>2807125</v>
      </c>
      <c r="H45" s="142">
        <v>22.2</v>
      </c>
      <c r="I45" s="143">
        <f t="shared" si="4"/>
        <v>9.2342342342342398E-2</v>
      </c>
      <c r="J45" s="145">
        <f>20.25-1.5</f>
        <v>18.75</v>
      </c>
      <c r="K45" s="145">
        <v>24.45</v>
      </c>
      <c r="L45" s="145">
        <v>20.25</v>
      </c>
      <c r="M45" s="143">
        <f t="shared" si="5"/>
        <v>0.29333333333333322</v>
      </c>
      <c r="N45" s="146" t="s">
        <v>31</v>
      </c>
      <c r="O45" s="146" t="s">
        <v>257</v>
      </c>
      <c r="P45" s="147">
        <v>1.5</v>
      </c>
      <c r="Q45" s="148">
        <v>44606</v>
      </c>
      <c r="R45" s="99" t="s">
        <v>266</v>
      </c>
    </row>
    <row r="46" spans="2:18" x14ac:dyDescent="0.25">
      <c r="B46" s="88" t="s">
        <v>21</v>
      </c>
      <c r="C46" s="134" t="s">
        <v>72</v>
      </c>
      <c r="D46" s="135">
        <v>10.199999999999999</v>
      </c>
      <c r="E46" s="135">
        <v>10.199999999999999</v>
      </c>
      <c r="F46" s="136">
        <f t="shared" si="3"/>
        <v>0</v>
      </c>
      <c r="G46" s="137">
        <v>371215</v>
      </c>
      <c r="H46" s="135">
        <v>10.15</v>
      </c>
      <c r="I46" s="136">
        <f t="shared" si="4"/>
        <v>4.9261083743841194E-3</v>
      </c>
      <c r="J46" s="138">
        <v>5.85</v>
      </c>
      <c r="K46" s="138">
        <v>11.2</v>
      </c>
      <c r="L46" s="138">
        <v>6.1</v>
      </c>
      <c r="M46" s="136">
        <f t="shared" si="5"/>
        <v>0.74358974358974361</v>
      </c>
      <c r="N46" s="139" t="s">
        <v>73</v>
      </c>
      <c r="O46" s="139" t="s">
        <v>257</v>
      </c>
      <c r="P46" s="140">
        <v>0.25</v>
      </c>
      <c r="Q46" s="71" t="s">
        <v>254</v>
      </c>
      <c r="R46" s="92">
        <v>44589</v>
      </c>
    </row>
    <row r="47" spans="2:18" x14ac:dyDescent="0.25">
      <c r="B47" s="88"/>
      <c r="C47" s="141" t="s">
        <v>74</v>
      </c>
      <c r="D47" s="142">
        <v>13.6</v>
      </c>
      <c r="E47" s="142">
        <v>13.8</v>
      </c>
      <c r="F47" s="143">
        <f t="shared" si="3"/>
        <v>-1.449275362318847E-2</v>
      </c>
      <c r="G47" s="144">
        <v>5493700</v>
      </c>
      <c r="H47" s="142">
        <v>13.4</v>
      </c>
      <c r="I47" s="143">
        <f t="shared" si="4"/>
        <v>1.4925373134328401E-2</v>
      </c>
      <c r="J47" s="145">
        <f>14.5-0.5</f>
        <v>14</v>
      </c>
      <c r="K47" s="145">
        <v>14.5</v>
      </c>
      <c r="L47" s="145">
        <v>12.2</v>
      </c>
      <c r="M47" s="143">
        <f t="shared" si="5"/>
        <v>-2.8571428571428581E-2</v>
      </c>
      <c r="N47" s="146" t="s">
        <v>20</v>
      </c>
      <c r="O47" s="146" t="s">
        <v>257</v>
      </c>
      <c r="P47" s="147">
        <v>0.5</v>
      </c>
      <c r="Q47" s="148">
        <v>44670</v>
      </c>
      <c r="R47" s="99">
        <v>44687</v>
      </c>
    </row>
    <row r="48" spans="2:18" x14ac:dyDescent="0.25">
      <c r="B48" s="88"/>
      <c r="C48" s="134"/>
      <c r="D48" s="135"/>
      <c r="E48" s="135"/>
      <c r="F48" s="136"/>
      <c r="G48" s="137"/>
      <c r="H48" s="135"/>
      <c r="I48" s="136"/>
      <c r="J48" s="138"/>
      <c r="K48" s="138"/>
      <c r="L48" s="138"/>
      <c r="M48" s="136"/>
      <c r="N48" s="139"/>
      <c r="O48" s="139"/>
      <c r="P48" s="140"/>
      <c r="Q48" s="71"/>
      <c r="R48" s="92"/>
    </row>
    <row r="49" spans="1:21" x14ac:dyDescent="0.25">
      <c r="A49" s="111"/>
      <c r="B49" s="152" t="s">
        <v>75</v>
      </c>
      <c r="C49" s="149"/>
      <c r="D49" s="149" t="s">
        <v>223</v>
      </c>
      <c r="E49" s="149" t="s">
        <v>223</v>
      </c>
      <c r="F49" s="149"/>
      <c r="G49" s="149"/>
      <c r="H49" s="149" t="s">
        <v>223</v>
      </c>
      <c r="I49" s="149"/>
      <c r="J49" s="149" t="s">
        <v>223</v>
      </c>
      <c r="K49" s="149"/>
      <c r="L49" s="149"/>
      <c r="M49" s="149"/>
      <c r="N49" s="149"/>
      <c r="O49" s="149"/>
      <c r="P49" s="149"/>
      <c r="Q49" s="149"/>
      <c r="R49" s="153"/>
      <c r="S49" s="111"/>
      <c r="T49" s="111"/>
      <c r="U49" s="111"/>
    </row>
    <row r="50" spans="1:21" x14ac:dyDescent="0.25">
      <c r="A50" s="111"/>
      <c r="B50" s="112" t="s">
        <v>76</v>
      </c>
      <c r="C50" s="134" t="s">
        <v>273</v>
      </c>
      <c r="D50" s="135">
        <v>9.6999999999999993</v>
      </c>
      <c r="E50" s="135">
        <v>9.9</v>
      </c>
      <c r="F50" s="136">
        <f t="shared" ref="F50:F77" si="6">D50/E50-1</f>
        <v>-2.0202020202020332E-2</v>
      </c>
      <c r="G50" s="137">
        <v>15489526</v>
      </c>
      <c r="H50" s="135">
        <v>9.9</v>
      </c>
      <c r="I50" s="136">
        <f t="shared" ref="I50:I77" si="7">D50/H50-1</f>
        <v>-2.0202020202020332E-2</v>
      </c>
      <c r="J50" s="138">
        <f>9.25-0.7</f>
        <v>8.5500000000000007</v>
      </c>
      <c r="K50" s="138">
        <v>10.5</v>
      </c>
      <c r="L50" s="138">
        <v>9.25</v>
      </c>
      <c r="M50" s="136">
        <f t="shared" ref="M50:M77" si="8">D50/J50-1</f>
        <v>0.13450292397660801</v>
      </c>
      <c r="N50" s="139" t="s">
        <v>20</v>
      </c>
      <c r="O50" s="139"/>
      <c r="P50" s="140">
        <v>0.7</v>
      </c>
      <c r="Q50" s="71">
        <v>44671</v>
      </c>
      <c r="R50" s="92">
        <v>44679</v>
      </c>
      <c r="S50" s="111"/>
      <c r="T50" s="111"/>
      <c r="U50" s="111"/>
    </row>
    <row r="51" spans="1:21" x14ac:dyDescent="0.25">
      <c r="A51" s="111"/>
      <c r="B51" s="112" t="s">
        <v>21</v>
      </c>
      <c r="C51" s="141" t="s">
        <v>77</v>
      </c>
      <c r="D51" s="142">
        <v>12</v>
      </c>
      <c r="E51" s="142">
        <v>12</v>
      </c>
      <c r="F51" s="143">
        <f t="shared" si="6"/>
        <v>0</v>
      </c>
      <c r="G51" s="144">
        <v>1136839</v>
      </c>
      <c r="H51" s="142">
        <v>12</v>
      </c>
      <c r="I51" s="143">
        <f t="shared" si="7"/>
        <v>0</v>
      </c>
      <c r="J51" s="145">
        <v>8.9</v>
      </c>
      <c r="K51" s="145">
        <v>13.1</v>
      </c>
      <c r="L51" s="145">
        <v>8.6</v>
      </c>
      <c r="M51" s="143">
        <f t="shared" si="8"/>
        <v>0.348314606741573</v>
      </c>
      <c r="N51" s="146" t="s">
        <v>20</v>
      </c>
      <c r="O51" s="146"/>
      <c r="P51" s="147"/>
      <c r="Q51" s="148"/>
      <c r="R51" s="99"/>
      <c r="S51" s="111"/>
      <c r="T51" s="111"/>
      <c r="U51" s="111"/>
    </row>
    <row r="52" spans="1:21" x14ac:dyDescent="0.25">
      <c r="A52" s="111"/>
      <c r="B52" s="112" t="s">
        <v>21</v>
      </c>
      <c r="C52" s="134" t="s">
        <v>78</v>
      </c>
      <c r="D52" s="135">
        <v>3.88</v>
      </c>
      <c r="E52" s="135">
        <v>3.6</v>
      </c>
      <c r="F52" s="136">
        <f t="shared" si="6"/>
        <v>7.7777777777777724E-2</v>
      </c>
      <c r="G52" s="137">
        <v>22093674</v>
      </c>
      <c r="H52" s="135">
        <v>3.74</v>
      </c>
      <c r="I52" s="136">
        <f t="shared" si="7"/>
        <v>3.7433155080213831E-2</v>
      </c>
      <c r="J52" s="138">
        <f>2.85-0.2</f>
        <v>2.65</v>
      </c>
      <c r="K52" s="138">
        <v>3.88</v>
      </c>
      <c r="L52" s="138">
        <v>2.85</v>
      </c>
      <c r="M52" s="136">
        <f t="shared" si="8"/>
        <v>0.46415094339622653</v>
      </c>
      <c r="N52" s="139" t="s">
        <v>20</v>
      </c>
      <c r="O52" s="139"/>
      <c r="P52" s="140">
        <v>0.2</v>
      </c>
      <c r="Q52" s="71">
        <v>44666</v>
      </c>
      <c r="R52" s="92">
        <v>44678</v>
      </c>
      <c r="S52" s="111"/>
      <c r="T52" s="111"/>
      <c r="U52" s="111"/>
    </row>
    <row r="53" spans="1:21" x14ac:dyDescent="0.25">
      <c r="A53" s="111"/>
      <c r="B53" s="112" t="s">
        <v>21</v>
      </c>
      <c r="C53" s="141" t="s">
        <v>79</v>
      </c>
      <c r="D53" s="142">
        <v>3.8</v>
      </c>
      <c r="E53" s="142">
        <v>3.62</v>
      </c>
      <c r="F53" s="143">
        <f t="shared" si="6"/>
        <v>4.9723756906077332E-2</v>
      </c>
      <c r="G53" s="144">
        <v>11101985</v>
      </c>
      <c r="H53" s="142">
        <v>3.9</v>
      </c>
      <c r="I53" s="143">
        <f t="shared" si="7"/>
        <v>-2.5641025641025661E-2</v>
      </c>
      <c r="J53" s="145">
        <f>2.55-0.35</f>
        <v>2.1999999999999997</v>
      </c>
      <c r="K53" s="145">
        <v>4.05</v>
      </c>
      <c r="L53" s="145">
        <v>2.5</v>
      </c>
      <c r="M53" s="143">
        <f t="shared" si="8"/>
        <v>0.72727272727272729</v>
      </c>
      <c r="N53" s="146" t="s">
        <v>20</v>
      </c>
      <c r="O53" s="146"/>
      <c r="P53" s="147">
        <v>0.35</v>
      </c>
      <c r="Q53" s="148">
        <v>44676</v>
      </c>
      <c r="R53" s="99">
        <v>44686</v>
      </c>
      <c r="S53" s="111"/>
      <c r="T53" s="111"/>
      <c r="U53" s="111"/>
    </row>
    <row r="54" spans="1:21" x14ac:dyDescent="0.25">
      <c r="A54" s="111"/>
      <c r="B54" s="112" t="s">
        <v>21</v>
      </c>
      <c r="C54" s="134" t="s">
        <v>80</v>
      </c>
      <c r="D54" s="135">
        <v>12</v>
      </c>
      <c r="E54" s="135">
        <v>11.9</v>
      </c>
      <c r="F54" s="136">
        <f t="shared" si="6"/>
        <v>8.4033613445377853E-3</v>
      </c>
      <c r="G54" s="137">
        <v>16497423</v>
      </c>
      <c r="H54" s="135">
        <v>12</v>
      </c>
      <c r="I54" s="136">
        <f t="shared" si="7"/>
        <v>0</v>
      </c>
      <c r="J54" s="138">
        <v>11.3</v>
      </c>
      <c r="K54" s="138">
        <v>12.4</v>
      </c>
      <c r="L54" s="138">
        <v>11</v>
      </c>
      <c r="M54" s="136">
        <f t="shared" si="8"/>
        <v>6.1946902654867131E-2</v>
      </c>
      <c r="N54" s="139" t="s">
        <v>20</v>
      </c>
      <c r="O54" s="139"/>
      <c r="P54" s="140"/>
      <c r="Q54" s="71"/>
      <c r="R54" s="92"/>
      <c r="S54" s="111"/>
      <c r="T54" s="111"/>
      <c r="U54" s="111"/>
    </row>
    <row r="55" spans="1:21" x14ac:dyDescent="0.25">
      <c r="A55" s="111"/>
      <c r="B55" s="112" t="s">
        <v>21</v>
      </c>
      <c r="C55" s="141" t="s">
        <v>232</v>
      </c>
      <c r="D55" s="142">
        <v>24</v>
      </c>
      <c r="E55" s="142">
        <v>23.95</v>
      </c>
      <c r="F55" s="143">
        <f t="shared" si="6"/>
        <v>2.0876826722338038E-3</v>
      </c>
      <c r="G55" s="144">
        <v>14892969</v>
      </c>
      <c r="H55" s="142">
        <v>24.6</v>
      </c>
      <c r="I55" s="143">
        <f t="shared" si="7"/>
        <v>-2.4390243902439046E-2</v>
      </c>
      <c r="J55" s="145">
        <f>26-2.7</f>
        <v>23.3</v>
      </c>
      <c r="K55" s="145">
        <v>28</v>
      </c>
      <c r="L55" s="145">
        <v>21.5</v>
      </c>
      <c r="M55" s="143">
        <f t="shared" si="8"/>
        <v>3.0042918454935563E-2</v>
      </c>
      <c r="N55" s="146" t="s">
        <v>20</v>
      </c>
      <c r="O55" s="146" t="s">
        <v>257</v>
      </c>
      <c r="P55" s="166">
        <v>2.7</v>
      </c>
      <c r="Q55" s="148">
        <v>44644</v>
      </c>
      <c r="R55" s="99" t="s">
        <v>267</v>
      </c>
      <c r="S55" s="111"/>
      <c r="T55" s="111"/>
      <c r="U55" s="111"/>
    </row>
    <row r="56" spans="1:21" x14ac:dyDescent="0.25">
      <c r="A56" s="111"/>
      <c r="B56" s="112"/>
      <c r="C56" s="134" t="s">
        <v>81</v>
      </c>
      <c r="D56" s="135">
        <v>0.74</v>
      </c>
      <c r="E56" s="135">
        <v>0.74</v>
      </c>
      <c r="F56" s="136">
        <f t="shared" si="6"/>
        <v>0</v>
      </c>
      <c r="G56" s="137">
        <v>231958</v>
      </c>
      <c r="H56" s="135">
        <v>0.73</v>
      </c>
      <c r="I56" s="136">
        <f t="shared" si="7"/>
        <v>1.3698630136986356E-2</v>
      </c>
      <c r="J56" s="138">
        <v>0.57999999999999996</v>
      </c>
      <c r="K56" s="138">
        <v>0.8</v>
      </c>
      <c r="L56" s="138">
        <v>0.56000000000000005</v>
      </c>
      <c r="M56" s="136">
        <f t="shared" si="8"/>
        <v>0.27586206896551735</v>
      </c>
      <c r="N56" s="139" t="s">
        <v>20</v>
      </c>
      <c r="O56" s="139"/>
      <c r="P56" s="140">
        <v>0.04</v>
      </c>
      <c r="Q56" s="71">
        <v>44708</v>
      </c>
      <c r="R56" s="92">
        <v>44720</v>
      </c>
      <c r="S56" s="111"/>
      <c r="T56" s="111"/>
      <c r="U56" s="111"/>
    </row>
    <row r="57" spans="1:21" x14ac:dyDescent="0.25">
      <c r="A57" s="111"/>
      <c r="B57" s="112" t="s">
        <v>21</v>
      </c>
      <c r="C57" s="141" t="s">
        <v>82</v>
      </c>
      <c r="D57" s="142">
        <v>35.5</v>
      </c>
      <c r="E57" s="142">
        <v>35.299999999999997</v>
      </c>
      <c r="F57" s="143">
        <f t="shared" si="6"/>
        <v>5.6657223796034994E-3</v>
      </c>
      <c r="G57" s="144">
        <v>5530919</v>
      </c>
      <c r="H57" s="142">
        <v>35.35</v>
      </c>
      <c r="I57" s="143">
        <f t="shared" si="7"/>
        <v>4.2432814710042788E-3</v>
      </c>
      <c r="J57" s="145">
        <f>38-2</f>
        <v>36</v>
      </c>
      <c r="K57" s="145">
        <v>38</v>
      </c>
      <c r="L57" s="145">
        <v>32.15</v>
      </c>
      <c r="M57" s="143">
        <f t="shared" si="8"/>
        <v>-1.388888888888884E-2</v>
      </c>
      <c r="N57" s="146" t="s">
        <v>20</v>
      </c>
      <c r="O57" s="146" t="s">
        <v>257</v>
      </c>
      <c r="P57" s="147">
        <v>2</v>
      </c>
      <c r="Q57" s="148">
        <v>44665</v>
      </c>
      <c r="R57" s="99">
        <v>44708</v>
      </c>
      <c r="S57" s="111"/>
      <c r="T57" s="111"/>
      <c r="U57" s="111"/>
    </row>
    <row r="58" spans="1:21" x14ac:dyDescent="0.25">
      <c r="A58" s="111"/>
      <c r="B58" s="112" t="s">
        <v>21</v>
      </c>
      <c r="C58" s="134" t="s">
        <v>83</v>
      </c>
      <c r="D58" s="135">
        <v>1.98</v>
      </c>
      <c r="E58" s="135">
        <v>2.2000000000000002</v>
      </c>
      <c r="F58" s="136">
        <f t="shared" si="6"/>
        <v>-0.10000000000000009</v>
      </c>
      <c r="G58" s="137">
        <v>4335795</v>
      </c>
      <c r="H58" s="135">
        <v>2.2000000000000002</v>
      </c>
      <c r="I58" s="136">
        <f t="shared" si="7"/>
        <v>-0.10000000000000009</v>
      </c>
      <c r="J58" s="138">
        <v>1.7</v>
      </c>
      <c r="K58" s="138">
        <v>2.57</v>
      </c>
      <c r="L58" s="138">
        <v>1.7</v>
      </c>
      <c r="M58" s="136">
        <f t="shared" si="8"/>
        <v>0.16470588235294126</v>
      </c>
      <c r="N58" s="139" t="s">
        <v>20</v>
      </c>
      <c r="O58" s="139"/>
      <c r="P58" s="140">
        <v>0.1</v>
      </c>
      <c r="Q58" s="71">
        <v>44690</v>
      </c>
      <c r="R58" s="92">
        <v>44707</v>
      </c>
      <c r="S58" s="111"/>
      <c r="T58" s="111"/>
      <c r="U58" s="111"/>
    </row>
    <row r="59" spans="1:21" x14ac:dyDescent="0.25">
      <c r="A59" s="111"/>
      <c r="B59" s="112" t="s">
        <v>21</v>
      </c>
      <c r="C59" s="141" t="s">
        <v>84</v>
      </c>
      <c r="D59" s="142">
        <v>1.54</v>
      </c>
      <c r="E59" s="142">
        <v>1.54</v>
      </c>
      <c r="F59" s="143">
        <f t="shared" si="6"/>
        <v>0</v>
      </c>
      <c r="G59" s="144">
        <v>4855812</v>
      </c>
      <c r="H59" s="142">
        <v>1.52</v>
      </c>
      <c r="I59" s="143">
        <f t="shared" si="7"/>
        <v>1.3157894736842035E-2</v>
      </c>
      <c r="J59" s="145">
        <v>1.53</v>
      </c>
      <c r="K59" s="145">
        <v>1.73</v>
      </c>
      <c r="L59" s="145">
        <v>1.4</v>
      </c>
      <c r="M59" s="143">
        <f t="shared" si="8"/>
        <v>6.5359477124182774E-3</v>
      </c>
      <c r="N59" s="146" t="s">
        <v>20</v>
      </c>
      <c r="O59" s="146"/>
      <c r="P59" s="147">
        <v>0.1</v>
      </c>
      <c r="Q59" s="148">
        <v>44711</v>
      </c>
      <c r="R59" s="99">
        <v>44728</v>
      </c>
      <c r="S59" s="111"/>
      <c r="T59" s="111"/>
      <c r="U59" s="111"/>
    </row>
    <row r="60" spans="1:21" x14ac:dyDescent="0.25">
      <c r="A60" s="111"/>
      <c r="B60" s="112" t="s">
        <v>21</v>
      </c>
      <c r="C60" s="134" t="s">
        <v>85</v>
      </c>
      <c r="D60" s="135">
        <v>8.25</v>
      </c>
      <c r="E60" s="135">
        <v>8.25</v>
      </c>
      <c r="F60" s="136">
        <f t="shared" si="6"/>
        <v>0</v>
      </c>
      <c r="G60" s="137">
        <v>5218013</v>
      </c>
      <c r="H60" s="135">
        <v>8.1999999999999993</v>
      </c>
      <c r="I60" s="136">
        <f t="shared" si="7"/>
        <v>6.0975609756097615E-3</v>
      </c>
      <c r="J60" s="138">
        <f>8.05-0.8</f>
        <v>7.2500000000000009</v>
      </c>
      <c r="K60" s="138">
        <v>8.85</v>
      </c>
      <c r="L60" s="138">
        <v>7.5</v>
      </c>
      <c r="M60" s="136">
        <f t="shared" si="8"/>
        <v>0.13793103448275845</v>
      </c>
      <c r="N60" s="139" t="s">
        <v>20</v>
      </c>
      <c r="O60" s="139"/>
      <c r="P60" s="140">
        <v>0.8</v>
      </c>
      <c r="Q60" s="71">
        <v>44641</v>
      </c>
      <c r="R60" s="92">
        <v>44658</v>
      </c>
      <c r="S60" s="111"/>
      <c r="T60" s="111"/>
      <c r="U60" s="111"/>
    </row>
    <row r="61" spans="1:21" x14ac:dyDescent="0.25">
      <c r="A61" s="111"/>
      <c r="B61" s="112" t="s">
        <v>21</v>
      </c>
      <c r="C61" s="141" t="s">
        <v>86</v>
      </c>
      <c r="D61" s="142">
        <v>6.35</v>
      </c>
      <c r="E61" s="142">
        <v>6.15</v>
      </c>
      <c r="F61" s="143">
        <f t="shared" si="6"/>
        <v>3.2520325203251987E-2</v>
      </c>
      <c r="G61" s="144">
        <v>1229964</v>
      </c>
      <c r="H61" s="142">
        <v>6.35</v>
      </c>
      <c r="I61" s="143">
        <f t="shared" si="7"/>
        <v>0</v>
      </c>
      <c r="J61" s="145">
        <v>5.8</v>
      </c>
      <c r="K61" s="145">
        <v>6.5</v>
      </c>
      <c r="L61" s="145">
        <v>5.4</v>
      </c>
      <c r="M61" s="143">
        <f t="shared" si="8"/>
        <v>9.4827586206896575E-2</v>
      </c>
      <c r="N61" s="146" t="s">
        <v>20</v>
      </c>
      <c r="O61" s="146"/>
      <c r="P61" s="147"/>
      <c r="Q61" s="148"/>
      <c r="R61" s="99"/>
      <c r="S61" s="111"/>
      <c r="T61" s="111"/>
      <c r="U61" s="111"/>
    </row>
    <row r="62" spans="1:21" x14ac:dyDescent="0.25">
      <c r="A62" s="111"/>
      <c r="B62" s="112" t="s">
        <v>21</v>
      </c>
      <c r="C62" s="134" t="s">
        <v>87</v>
      </c>
      <c r="D62" s="135">
        <v>0.5</v>
      </c>
      <c r="E62" s="135">
        <v>0.49</v>
      </c>
      <c r="F62" s="136">
        <f t="shared" si="6"/>
        <v>2.0408163265306145E-2</v>
      </c>
      <c r="G62" s="137">
        <v>1224616</v>
      </c>
      <c r="H62" s="135">
        <v>0.47</v>
      </c>
      <c r="I62" s="136">
        <f t="shared" si="7"/>
        <v>6.3829787234042534E-2</v>
      </c>
      <c r="J62" s="138">
        <v>0.52</v>
      </c>
      <c r="K62" s="138">
        <v>0.54</v>
      </c>
      <c r="L62" s="138">
        <v>0.44</v>
      </c>
      <c r="M62" s="136">
        <f t="shared" si="8"/>
        <v>-3.8461538461538547E-2</v>
      </c>
      <c r="N62" s="139" t="s">
        <v>20</v>
      </c>
      <c r="O62" s="139"/>
      <c r="P62" s="140"/>
      <c r="Q62" s="71"/>
      <c r="R62" s="92"/>
      <c r="S62" s="111"/>
      <c r="T62" s="111"/>
      <c r="U62" s="111"/>
    </row>
    <row r="63" spans="1:21" x14ac:dyDescent="0.25">
      <c r="A63" s="111"/>
      <c r="B63" s="112" t="s">
        <v>21</v>
      </c>
      <c r="C63" s="141" t="s">
        <v>88</v>
      </c>
      <c r="D63" s="142">
        <v>3.5</v>
      </c>
      <c r="E63" s="142">
        <v>3.43</v>
      </c>
      <c r="F63" s="143">
        <f t="shared" si="6"/>
        <v>2.0408163265306145E-2</v>
      </c>
      <c r="G63" s="144">
        <v>2583843</v>
      </c>
      <c r="H63" s="142">
        <v>3.34</v>
      </c>
      <c r="I63" s="143">
        <f t="shared" si="7"/>
        <v>4.7904191616766401E-2</v>
      </c>
      <c r="J63" s="145">
        <f>0.79-0.24</f>
        <v>0.55000000000000004</v>
      </c>
      <c r="K63" s="145">
        <v>3.67</v>
      </c>
      <c r="L63" s="145">
        <v>0.78</v>
      </c>
      <c r="M63" s="143">
        <f t="shared" si="8"/>
        <v>5.3636363636363633</v>
      </c>
      <c r="N63" s="146" t="s">
        <v>20</v>
      </c>
      <c r="O63" s="146"/>
      <c r="P63" s="147">
        <v>0.24</v>
      </c>
      <c r="Q63" s="148">
        <v>44679</v>
      </c>
      <c r="R63" s="99">
        <v>44691</v>
      </c>
      <c r="S63" s="111"/>
      <c r="T63" s="111"/>
      <c r="U63" s="111"/>
    </row>
    <row r="64" spans="1:21" x14ac:dyDescent="0.25">
      <c r="A64" s="111"/>
      <c r="B64" s="112" t="s">
        <v>21</v>
      </c>
      <c r="C64" s="134" t="s">
        <v>89</v>
      </c>
      <c r="D64" s="135">
        <v>24.5</v>
      </c>
      <c r="E64" s="135">
        <v>24.55</v>
      </c>
      <c r="F64" s="136">
        <f t="shared" si="6"/>
        <v>-2.0366598778004397E-3</v>
      </c>
      <c r="G64" s="137">
        <v>8165463</v>
      </c>
      <c r="H64" s="135">
        <v>25.55</v>
      </c>
      <c r="I64" s="136">
        <f t="shared" si="7"/>
        <v>-4.1095890410958957E-2</v>
      </c>
      <c r="J64" s="138">
        <f>25.3-2.8</f>
        <v>22.5</v>
      </c>
      <c r="K64" s="138">
        <v>27.4</v>
      </c>
      <c r="L64" s="138">
        <v>22</v>
      </c>
      <c r="M64" s="136">
        <f t="shared" si="8"/>
        <v>8.8888888888888795E-2</v>
      </c>
      <c r="N64" s="139" t="s">
        <v>20</v>
      </c>
      <c r="O64" s="139" t="s">
        <v>257</v>
      </c>
      <c r="P64" s="140">
        <f>2.8</f>
        <v>2.8</v>
      </c>
      <c r="Q64" s="71">
        <v>44648</v>
      </c>
      <c r="R64" s="92" t="s">
        <v>268</v>
      </c>
      <c r="S64" s="111"/>
      <c r="T64" s="111"/>
      <c r="U64" s="111"/>
    </row>
    <row r="65" spans="1:21" x14ac:dyDescent="0.25">
      <c r="A65" s="111"/>
      <c r="B65" s="112" t="s">
        <v>90</v>
      </c>
      <c r="C65" s="141" t="s">
        <v>91</v>
      </c>
      <c r="D65" s="142">
        <v>0.2</v>
      </c>
      <c r="E65" s="142">
        <v>0.2</v>
      </c>
      <c r="F65" s="143">
        <f t="shared" si="6"/>
        <v>0</v>
      </c>
      <c r="G65" s="144">
        <v>0</v>
      </c>
      <c r="H65" s="142">
        <v>0.2</v>
      </c>
      <c r="I65" s="143">
        <f t="shared" si="7"/>
        <v>0</v>
      </c>
      <c r="J65" s="145">
        <v>0.2</v>
      </c>
      <c r="K65" s="145">
        <v>0.2</v>
      </c>
      <c r="L65" s="145">
        <v>0.2</v>
      </c>
      <c r="M65" s="143">
        <f t="shared" si="8"/>
        <v>0</v>
      </c>
      <c r="N65" s="146" t="s">
        <v>20</v>
      </c>
      <c r="O65" s="146"/>
      <c r="P65" s="147"/>
      <c r="Q65" s="148"/>
      <c r="R65" s="99"/>
      <c r="S65" s="111"/>
      <c r="T65" s="111"/>
      <c r="U65" s="111"/>
    </row>
    <row r="66" spans="1:21" x14ac:dyDescent="0.25">
      <c r="A66" s="111"/>
      <c r="B66" s="112" t="s">
        <v>21</v>
      </c>
      <c r="C66" s="134" t="s">
        <v>92</v>
      </c>
      <c r="D66" s="135">
        <v>0.79</v>
      </c>
      <c r="E66" s="135">
        <v>0.74</v>
      </c>
      <c r="F66" s="136">
        <f t="shared" si="6"/>
        <v>6.7567567567567544E-2</v>
      </c>
      <c r="G66" s="137">
        <v>27134478</v>
      </c>
      <c r="H66" s="135">
        <v>0.66</v>
      </c>
      <c r="I66" s="136">
        <f t="shared" si="7"/>
        <v>0.19696969696969702</v>
      </c>
      <c r="J66" s="138">
        <v>0.72</v>
      </c>
      <c r="K66" s="138">
        <v>0.84</v>
      </c>
      <c r="L66" s="138">
        <v>0.64</v>
      </c>
      <c r="M66" s="136">
        <f t="shared" si="8"/>
        <v>9.7222222222222321E-2</v>
      </c>
      <c r="N66" s="139" t="s">
        <v>20</v>
      </c>
      <c r="O66" s="139"/>
      <c r="P66" s="140">
        <v>0.02</v>
      </c>
      <c r="Q66" s="71">
        <v>44704</v>
      </c>
      <c r="R66" s="92">
        <v>44711</v>
      </c>
      <c r="S66" s="111"/>
      <c r="T66" s="111"/>
      <c r="U66" s="111"/>
    </row>
    <row r="67" spans="1:21" x14ac:dyDescent="0.25">
      <c r="A67" s="111"/>
      <c r="B67" s="112" t="s">
        <v>21</v>
      </c>
      <c r="C67" s="141" t="s">
        <v>93</v>
      </c>
      <c r="D67" s="142">
        <v>0.59</v>
      </c>
      <c r="E67" s="142">
        <v>0.62</v>
      </c>
      <c r="F67" s="143">
        <f t="shared" si="6"/>
        <v>-4.8387096774193616E-2</v>
      </c>
      <c r="G67" s="144">
        <v>2186483</v>
      </c>
      <c r="H67" s="142">
        <v>0.65</v>
      </c>
      <c r="I67" s="143">
        <f t="shared" si="7"/>
        <v>-9.2307692307692424E-2</v>
      </c>
      <c r="J67" s="145">
        <v>0.5</v>
      </c>
      <c r="K67" s="145">
        <v>0.74</v>
      </c>
      <c r="L67" s="145">
        <v>0.46</v>
      </c>
      <c r="M67" s="143">
        <f t="shared" si="8"/>
        <v>0.17999999999999994</v>
      </c>
      <c r="N67" s="146" t="s">
        <v>20</v>
      </c>
      <c r="O67" s="146"/>
      <c r="P67" s="147"/>
      <c r="Q67" s="148"/>
      <c r="R67" s="99"/>
      <c r="S67" s="111"/>
      <c r="T67" s="111"/>
      <c r="U67" s="111"/>
    </row>
    <row r="68" spans="1:21" x14ac:dyDescent="0.25">
      <c r="A68" s="111"/>
      <c r="B68" s="112" t="s">
        <v>21</v>
      </c>
      <c r="C68" s="134" t="s">
        <v>224</v>
      </c>
      <c r="D68" s="135">
        <v>0.33</v>
      </c>
      <c r="E68" s="135">
        <v>0.33</v>
      </c>
      <c r="F68" s="136">
        <f t="shared" si="6"/>
        <v>0</v>
      </c>
      <c r="G68" s="137">
        <v>0</v>
      </c>
      <c r="H68" s="135">
        <v>0.33</v>
      </c>
      <c r="I68" s="136">
        <f t="shared" si="7"/>
        <v>0</v>
      </c>
      <c r="J68" s="138">
        <v>0.41</v>
      </c>
      <c r="K68" s="138">
        <v>0.45</v>
      </c>
      <c r="L68" s="138">
        <v>0.3</v>
      </c>
      <c r="M68" s="136">
        <f t="shared" si="8"/>
        <v>-0.19512195121951215</v>
      </c>
      <c r="N68" s="139" t="s">
        <v>20</v>
      </c>
      <c r="O68" s="139"/>
      <c r="P68" s="140"/>
      <c r="Q68" s="71"/>
      <c r="R68" s="92"/>
      <c r="S68" s="111"/>
      <c r="T68" s="111"/>
      <c r="U68" s="111"/>
    </row>
    <row r="69" spans="1:21" x14ac:dyDescent="0.25">
      <c r="A69" s="111"/>
      <c r="B69" s="112" t="s">
        <v>21</v>
      </c>
      <c r="C69" s="141" t="s">
        <v>94</v>
      </c>
      <c r="D69" s="142">
        <v>0.2</v>
      </c>
      <c r="E69" s="142">
        <v>0.2</v>
      </c>
      <c r="F69" s="143">
        <f t="shared" si="6"/>
        <v>0</v>
      </c>
      <c r="G69" s="144">
        <v>0</v>
      </c>
      <c r="H69" s="142">
        <v>0.2</v>
      </c>
      <c r="I69" s="143">
        <f t="shared" si="7"/>
        <v>0</v>
      </c>
      <c r="J69" s="145">
        <v>0.2</v>
      </c>
      <c r="K69" s="145">
        <v>0.2</v>
      </c>
      <c r="L69" s="145">
        <v>0.2</v>
      </c>
      <c r="M69" s="143">
        <f t="shared" si="8"/>
        <v>0</v>
      </c>
      <c r="N69" s="146" t="s">
        <v>20</v>
      </c>
      <c r="O69" s="146"/>
      <c r="P69" s="147"/>
      <c r="Q69" s="148"/>
      <c r="R69" s="99"/>
      <c r="S69" s="111"/>
      <c r="T69" s="111"/>
      <c r="U69" s="111"/>
    </row>
    <row r="70" spans="1:21" x14ac:dyDescent="0.25">
      <c r="A70" s="111"/>
      <c r="B70" s="112" t="s">
        <v>21</v>
      </c>
      <c r="C70" s="134" t="s">
        <v>95</v>
      </c>
      <c r="D70" s="135">
        <v>0.2</v>
      </c>
      <c r="E70" s="135">
        <v>0.2</v>
      </c>
      <c r="F70" s="136">
        <f t="shared" si="6"/>
        <v>0</v>
      </c>
      <c r="G70" s="137">
        <v>0</v>
      </c>
      <c r="H70" s="135">
        <v>0.2</v>
      </c>
      <c r="I70" s="136">
        <f t="shared" si="7"/>
        <v>0</v>
      </c>
      <c r="J70" s="138">
        <v>0.2</v>
      </c>
      <c r="K70" s="138">
        <v>0.22</v>
      </c>
      <c r="L70" s="138">
        <v>0.2</v>
      </c>
      <c r="M70" s="136">
        <f t="shared" si="8"/>
        <v>0</v>
      </c>
      <c r="N70" s="139" t="s">
        <v>20</v>
      </c>
      <c r="O70" s="139"/>
      <c r="P70" s="140"/>
      <c r="Q70" s="71"/>
      <c r="R70" s="92"/>
      <c r="S70" s="111"/>
      <c r="T70" s="111"/>
      <c r="U70" s="111"/>
    </row>
    <row r="71" spans="1:21" x14ac:dyDescent="0.25">
      <c r="A71" s="111"/>
      <c r="B71" s="112" t="s">
        <v>21</v>
      </c>
      <c r="C71" s="141" t="s">
        <v>96</v>
      </c>
      <c r="D71" s="142">
        <v>0.61</v>
      </c>
      <c r="E71" s="142">
        <v>0.63</v>
      </c>
      <c r="F71" s="143">
        <f t="shared" si="6"/>
        <v>-3.1746031746031744E-2</v>
      </c>
      <c r="G71" s="144">
        <v>1137532</v>
      </c>
      <c r="H71" s="142">
        <v>0.64</v>
      </c>
      <c r="I71" s="143">
        <f t="shared" si="7"/>
        <v>-4.6875E-2</v>
      </c>
      <c r="J71" s="145">
        <v>0.74</v>
      </c>
      <c r="K71" s="145">
        <v>0.79</v>
      </c>
      <c r="L71" s="145">
        <v>0.56000000000000005</v>
      </c>
      <c r="M71" s="143">
        <f t="shared" si="8"/>
        <v>-0.17567567567567566</v>
      </c>
      <c r="N71" s="146" t="s">
        <v>20</v>
      </c>
      <c r="O71" s="146"/>
      <c r="P71" s="147"/>
      <c r="Q71" s="148"/>
      <c r="R71" s="99"/>
      <c r="S71" s="111"/>
      <c r="T71" s="111"/>
      <c r="U71" s="111"/>
    </row>
    <row r="72" spans="1:21" x14ac:dyDescent="0.25">
      <c r="A72" s="111"/>
      <c r="B72" s="112"/>
      <c r="C72" s="134" t="s">
        <v>97</v>
      </c>
      <c r="D72" s="135">
        <v>0.38</v>
      </c>
      <c r="E72" s="135">
        <v>0.38</v>
      </c>
      <c r="F72" s="136">
        <f t="shared" si="6"/>
        <v>0</v>
      </c>
      <c r="G72" s="137">
        <v>0</v>
      </c>
      <c r="H72" s="135">
        <v>0.38</v>
      </c>
      <c r="I72" s="136">
        <f t="shared" si="7"/>
        <v>0</v>
      </c>
      <c r="J72" s="138">
        <v>0.38</v>
      </c>
      <c r="K72" s="138">
        <v>0.38</v>
      </c>
      <c r="L72" s="138">
        <v>0.38</v>
      </c>
      <c r="M72" s="136">
        <f t="shared" si="8"/>
        <v>0</v>
      </c>
      <c r="N72" s="139" t="s">
        <v>20</v>
      </c>
      <c r="O72" s="139"/>
      <c r="P72" s="140"/>
      <c r="Q72" s="71"/>
      <c r="R72" s="92"/>
      <c r="S72" s="111"/>
      <c r="T72" s="111"/>
      <c r="U72" s="111"/>
    </row>
    <row r="73" spans="1:21" x14ac:dyDescent="0.25">
      <c r="A73" s="111"/>
      <c r="B73" s="112"/>
      <c r="C73" s="141" t="s">
        <v>98</v>
      </c>
      <c r="D73" s="142">
        <v>1.02</v>
      </c>
      <c r="E73" s="142">
        <v>1.06</v>
      </c>
      <c r="F73" s="143">
        <f t="shared" si="6"/>
        <v>-3.7735849056603765E-2</v>
      </c>
      <c r="G73" s="144">
        <v>1228404</v>
      </c>
      <c r="H73" s="142">
        <v>1.0900000000000001</v>
      </c>
      <c r="I73" s="143">
        <f t="shared" si="7"/>
        <v>-6.4220183486238591E-2</v>
      </c>
      <c r="J73" s="145">
        <v>1.04</v>
      </c>
      <c r="K73" s="145">
        <v>1.1499999999999999</v>
      </c>
      <c r="L73" s="145">
        <v>1</v>
      </c>
      <c r="M73" s="143">
        <f>D73/J73-1</f>
        <v>-1.9230769230769273E-2</v>
      </c>
      <c r="N73" s="146" t="s">
        <v>20</v>
      </c>
      <c r="O73" s="146"/>
      <c r="P73" s="147"/>
      <c r="Q73" s="148"/>
      <c r="R73" s="99"/>
      <c r="S73" s="111"/>
      <c r="T73" s="111"/>
      <c r="U73" s="111"/>
    </row>
    <row r="74" spans="1:21" x14ac:dyDescent="0.25">
      <c r="A74" s="111"/>
      <c r="B74" s="112"/>
      <c r="C74" s="134" t="s">
        <v>99</v>
      </c>
      <c r="D74" s="135">
        <v>0.49</v>
      </c>
      <c r="E74" s="135">
        <v>0.49</v>
      </c>
      <c r="F74" s="136">
        <f t="shared" si="6"/>
        <v>0</v>
      </c>
      <c r="G74" s="137">
        <v>1277050</v>
      </c>
      <c r="H74" s="135">
        <v>0.51</v>
      </c>
      <c r="I74" s="136">
        <f t="shared" si="7"/>
        <v>-3.9215686274509887E-2</v>
      </c>
      <c r="J74" s="138">
        <v>0.5</v>
      </c>
      <c r="K74" s="138">
        <v>0.57999999999999996</v>
      </c>
      <c r="L74" s="138">
        <v>0.46</v>
      </c>
      <c r="M74" s="136">
        <f t="shared" si="8"/>
        <v>-2.0000000000000018E-2</v>
      </c>
      <c r="N74" s="139" t="s">
        <v>20</v>
      </c>
      <c r="O74" s="139"/>
      <c r="P74" s="140"/>
      <c r="Q74" s="71"/>
      <c r="R74" s="92"/>
      <c r="S74" s="111"/>
      <c r="T74" s="111"/>
      <c r="U74" s="111"/>
    </row>
    <row r="75" spans="1:21" x14ac:dyDescent="0.25">
      <c r="A75" s="111"/>
      <c r="B75" s="112"/>
      <c r="C75" s="141" t="s">
        <v>272</v>
      </c>
      <c r="D75" s="142">
        <v>2.44</v>
      </c>
      <c r="E75" s="142">
        <v>2.2999999999999998</v>
      </c>
      <c r="F75" s="143">
        <f t="shared" si="6"/>
        <v>6.0869565217391397E-2</v>
      </c>
      <c r="G75" s="144">
        <v>741128</v>
      </c>
      <c r="H75" s="142">
        <v>2.59</v>
      </c>
      <c r="I75" s="143">
        <f t="shared" si="7"/>
        <v>-5.791505791505791E-2</v>
      </c>
      <c r="J75" s="145">
        <f>2.32-0.25</f>
        <v>2.0699999999999998</v>
      </c>
      <c r="K75" s="145">
        <v>2.6</v>
      </c>
      <c r="L75" s="145">
        <v>2.15</v>
      </c>
      <c r="M75" s="143">
        <f t="shared" si="8"/>
        <v>0.17874396135265713</v>
      </c>
      <c r="N75" s="146" t="s">
        <v>20</v>
      </c>
      <c r="O75" s="146"/>
      <c r="P75" s="147">
        <v>0.25</v>
      </c>
      <c r="Q75" s="148">
        <v>44680</v>
      </c>
      <c r="R75" s="99">
        <v>44693</v>
      </c>
      <c r="S75" s="111"/>
      <c r="T75" s="111"/>
      <c r="U75" s="111"/>
    </row>
    <row r="76" spans="1:21" x14ac:dyDescent="0.25">
      <c r="A76" s="111"/>
      <c r="B76" s="112"/>
      <c r="C76" s="134" t="s">
        <v>100</v>
      </c>
      <c r="D76" s="135">
        <v>0.25</v>
      </c>
      <c r="E76" s="135">
        <v>0.25</v>
      </c>
      <c r="F76" s="136">
        <f t="shared" si="6"/>
        <v>0</v>
      </c>
      <c r="G76" s="137">
        <v>337184</v>
      </c>
      <c r="H76" s="135">
        <v>0.25</v>
      </c>
      <c r="I76" s="136">
        <f t="shared" si="7"/>
        <v>0</v>
      </c>
      <c r="J76" s="138">
        <v>0.32</v>
      </c>
      <c r="K76" s="138">
        <v>0.33</v>
      </c>
      <c r="L76" s="138">
        <v>0.24</v>
      </c>
      <c r="M76" s="136">
        <f t="shared" si="8"/>
        <v>-0.21875</v>
      </c>
      <c r="N76" s="139" t="s">
        <v>20</v>
      </c>
      <c r="O76" s="139"/>
      <c r="P76" s="140"/>
      <c r="Q76" s="71"/>
      <c r="R76" s="92"/>
      <c r="S76" s="111"/>
      <c r="T76" s="111"/>
      <c r="U76" s="111"/>
    </row>
    <row r="77" spans="1:21" x14ac:dyDescent="0.25">
      <c r="A77" s="111"/>
      <c r="B77" s="112"/>
      <c r="C77" s="141" t="s">
        <v>101</v>
      </c>
      <c r="D77" s="142">
        <v>4.4000000000000004</v>
      </c>
      <c r="E77" s="142">
        <v>4</v>
      </c>
      <c r="F77" s="143">
        <f t="shared" si="6"/>
        <v>0.10000000000000009</v>
      </c>
      <c r="G77" s="144">
        <v>1041201</v>
      </c>
      <c r="H77" s="142">
        <v>4</v>
      </c>
      <c r="I77" s="143">
        <f t="shared" si="7"/>
        <v>0.10000000000000009</v>
      </c>
      <c r="J77" s="145">
        <f>4.5-0.22</f>
        <v>4.28</v>
      </c>
      <c r="K77" s="145">
        <v>4.5</v>
      </c>
      <c r="L77" s="145">
        <v>3.01</v>
      </c>
      <c r="M77" s="143">
        <f t="shared" si="8"/>
        <v>2.8037383177570208E-2</v>
      </c>
      <c r="N77" s="146" t="s">
        <v>20</v>
      </c>
      <c r="O77" s="146"/>
      <c r="P77" s="147">
        <v>0.22</v>
      </c>
      <c r="Q77" s="148">
        <v>44683</v>
      </c>
      <c r="R77" s="99">
        <v>44700</v>
      </c>
      <c r="S77" s="111"/>
      <c r="T77" s="111"/>
      <c r="U77" s="111"/>
    </row>
    <row r="78" spans="1:21" x14ac:dyDescent="0.25">
      <c r="A78" s="111"/>
      <c r="B78" s="112"/>
      <c r="C78" s="134" t="s">
        <v>102</v>
      </c>
      <c r="D78" s="135">
        <v>0.2</v>
      </c>
      <c r="E78" s="135">
        <v>0.2</v>
      </c>
      <c r="F78" s="136">
        <f t="shared" ref="F78:F98" si="9">D78/E78-1</f>
        <v>0</v>
      </c>
      <c r="G78" s="137">
        <v>944445</v>
      </c>
      <c r="H78" s="135">
        <v>0.2</v>
      </c>
      <c r="I78" s="136">
        <f t="shared" ref="I78:I98" si="10">D78/H78-1</f>
        <v>0</v>
      </c>
      <c r="J78" s="138">
        <v>0.2</v>
      </c>
      <c r="K78" s="138">
        <v>0.3</v>
      </c>
      <c r="L78" s="138">
        <v>0.2</v>
      </c>
      <c r="M78" s="136">
        <f t="shared" ref="M78:M98" si="11">D78/J78-1</f>
        <v>0</v>
      </c>
      <c r="N78" s="139" t="s">
        <v>20</v>
      </c>
      <c r="O78" s="139"/>
      <c r="P78" s="140"/>
      <c r="Q78" s="71"/>
      <c r="R78" s="92"/>
      <c r="S78" s="111"/>
      <c r="T78" s="111"/>
      <c r="U78" s="111"/>
    </row>
    <row r="79" spans="1:21" x14ac:dyDescent="0.25">
      <c r="A79" s="111"/>
      <c r="B79" s="112"/>
      <c r="C79" s="141" t="s">
        <v>103</v>
      </c>
      <c r="D79" s="142">
        <v>0.44</v>
      </c>
      <c r="E79" s="142">
        <v>0.44</v>
      </c>
      <c r="F79" s="143">
        <f t="shared" si="9"/>
        <v>0</v>
      </c>
      <c r="G79" s="144">
        <v>58474</v>
      </c>
      <c r="H79" s="142">
        <v>0.42</v>
      </c>
      <c r="I79" s="143">
        <f t="shared" si="10"/>
        <v>4.7619047619047672E-2</v>
      </c>
      <c r="J79" s="145">
        <v>0.51</v>
      </c>
      <c r="K79" s="145">
        <v>0.51</v>
      </c>
      <c r="L79" s="145">
        <v>0.4</v>
      </c>
      <c r="M79" s="143">
        <f t="shared" si="11"/>
        <v>-0.13725490196078427</v>
      </c>
      <c r="N79" s="146" t="s">
        <v>20</v>
      </c>
      <c r="O79" s="146"/>
      <c r="P79" s="147">
        <v>1.5</v>
      </c>
      <c r="Q79" s="148">
        <v>44704</v>
      </c>
      <c r="R79" s="99">
        <v>44708</v>
      </c>
      <c r="S79" s="111"/>
      <c r="T79" s="111"/>
      <c r="U79" s="111"/>
    </row>
    <row r="80" spans="1:21" x14ac:dyDescent="0.25">
      <c r="A80" s="111"/>
      <c r="B80" s="112"/>
      <c r="C80" s="134" t="s">
        <v>104</v>
      </c>
      <c r="D80" s="135">
        <v>0.32</v>
      </c>
      <c r="E80" s="135">
        <v>0.32</v>
      </c>
      <c r="F80" s="136">
        <f t="shared" si="9"/>
        <v>0</v>
      </c>
      <c r="G80" s="137">
        <v>4880250</v>
      </c>
      <c r="H80" s="135">
        <v>0.33</v>
      </c>
      <c r="I80" s="136">
        <f t="shared" si="10"/>
        <v>-3.0303030303030276E-2</v>
      </c>
      <c r="J80" s="138">
        <v>0.49</v>
      </c>
      <c r="K80" s="138">
        <v>0.51</v>
      </c>
      <c r="L80" s="138">
        <v>0.28000000000000003</v>
      </c>
      <c r="M80" s="136">
        <f t="shared" si="11"/>
        <v>-0.34693877551020402</v>
      </c>
      <c r="N80" s="139" t="s">
        <v>20</v>
      </c>
      <c r="O80" s="139"/>
      <c r="P80" s="140"/>
      <c r="Q80" s="71"/>
      <c r="R80" s="92"/>
      <c r="S80" s="111"/>
      <c r="T80" s="111"/>
      <c r="U80" s="111"/>
    </row>
    <row r="81" spans="1:21" x14ac:dyDescent="0.25">
      <c r="A81" s="111"/>
      <c r="B81" s="112"/>
      <c r="C81" s="141" t="s">
        <v>105</v>
      </c>
      <c r="D81" s="142">
        <v>0.27</v>
      </c>
      <c r="E81" s="142">
        <v>0.26</v>
      </c>
      <c r="F81" s="143">
        <f t="shared" si="9"/>
        <v>3.8461538461538547E-2</v>
      </c>
      <c r="G81" s="144">
        <v>372693</v>
      </c>
      <c r="H81" s="142">
        <v>0.26</v>
      </c>
      <c r="I81" s="143">
        <f t="shared" si="10"/>
        <v>3.8461538461538547E-2</v>
      </c>
      <c r="J81" s="145">
        <v>0.28000000000000003</v>
      </c>
      <c r="K81" s="145">
        <v>0.3</v>
      </c>
      <c r="L81" s="145">
        <v>0.23</v>
      </c>
      <c r="M81" s="143">
        <f t="shared" si="11"/>
        <v>-3.5714285714285698E-2</v>
      </c>
      <c r="N81" s="146" t="s">
        <v>20</v>
      </c>
      <c r="O81" s="146"/>
      <c r="P81" s="147"/>
      <c r="Q81" s="148"/>
      <c r="R81" s="99"/>
      <c r="S81" s="111"/>
      <c r="T81" s="111"/>
      <c r="U81" s="111"/>
    </row>
    <row r="82" spans="1:21" x14ac:dyDescent="0.25">
      <c r="A82" s="111"/>
      <c r="B82" s="112"/>
      <c r="C82" s="134" t="s">
        <v>106</v>
      </c>
      <c r="D82" s="135">
        <v>0.48</v>
      </c>
      <c r="E82" s="135">
        <v>0.48</v>
      </c>
      <c r="F82" s="136">
        <f t="shared" si="9"/>
        <v>0</v>
      </c>
      <c r="G82" s="137">
        <v>0</v>
      </c>
      <c r="H82" s="135">
        <v>0.48</v>
      </c>
      <c r="I82" s="136">
        <f t="shared" si="10"/>
        <v>0</v>
      </c>
      <c r="J82" s="138">
        <v>0.48</v>
      </c>
      <c r="K82" s="138">
        <v>0.48</v>
      </c>
      <c r="L82" s="138">
        <v>0.48</v>
      </c>
      <c r="M82" s="136">
        <f t="shared" si="11"/>
        <v>0</v>
      </c>
      <c r="N82" s="139" t="s">
        <v>20</v>
      </c>
      <c r="O82" s="139"/>
      <c r="P82" s="140"/>
      <c r="Q82" s="71"/>
      <c r="R82" s="92"/>
      <c r="S82" s="111"/>
      <c r="T82" s="111"/>
      <c r="U82" s="111"/>
    </row>
    <row r="83" spans="1:21" x14ac:dyDescent="0.25">
      <c r="A83" s="111"/>
      <c r="B83" s="112"/>
      <c r="C83" s="141" t="s">
        <v>107</v>
      </c>
      <c r="D83" s="142">
        <v>0.2</v>
      </c>
      <c r="E83" s="142">
        <v>0.2</v>
      </c>
      <c r="F83" s="143">
        <f t="shared" si="9"/>
        <v>0</v>
      </c>
      <c r="G83" s="144">
        <v>0</v>
      </c>
      <c r="H83" s="142">
        <v>0.2</v>
      </c>
      <c r="I83" s="143">
        <f t="shared" si="10"/>
        <v>0</v>
      </c>
      <c r="J83" s="145">
        <v>0.2</v>
      </c>
      <c r="K83" s="145">
        <v>0.2</v>
      </c>
      <c r="L83" s="145">
        <v>0.2</v>
      </c>
      <c r="M83" s="143">
        <f t="shared" si="11"/>
        <v>0</v>
      </c>
      <c r="N83" s="146" t="s">
        <v>20</v>
      </c>
      <c r="O83" s="146"/>
      <c r="P83" s="147"/>
      <c r="Q83" s="148"/>
      <c r="R83" s="99"/>
      <c r="S83" s="111"/>
      <c r="T83" s="111"/>
      <c r="U83" s="111"/>
    </row>
    <row r="84" spans="1:21" x14ac:dyDescent="0.25">
      <c r="A84" s="111"/>
      <c r="B84" s="112"/>
      <c r="C84" s="134" t="s">
        <v>108</v>
      </c>
      <c r="D84" s="135">
        <v>0.22</v>
      </c>
      <c r="E84" s="135">
        <v>0.21</v>
      </c>
      <c r="F84" s="136">
        <f t="shared" si="9"/>
        <v>4.7619047619047672E-2</v>
      </c>
      <c r="G84" s="137">
        <v>461955</v>
      </c>
      <c r="H84" s="135">
        <v>0.21</v>
      </c>
      <c r="I84" s="136">
        <f t="shared" si="10"/>
        <v>4.7619047619047672E-2</v>
      </c>
      <c r="J84" s="138">
        <v>0.22</v>
      </c>
      <c r="K84" s="138">
        <v>0.25</v>
      </c>
      <c r="L84" s="138">
        <v>0.21</v>
      </c>
      <c r="M84" s="136">
        <f t="shared" si="11"/>
        <v>0</v>
      </c>
      <c r="N84" s="139" t="s">
        <v>20</v>
      </c>
      <c r="O84" s="139"/>
      <c r="P84" s="140"/>
      <c r="Q84" s="71"/>
      <c r="R84" s="92"/>
      <c r="S84" s="111"/>
      <c r="T84" s="111"/>
      <c r="U84" s="111"/>
    </row>
    <row r="85" spans="1:21" x14ac:dyDescent="0.25">
      <c r="A85" s="111"/>
      <c r="B85" s="112"/>
      <c r="C85" s="141" t="s">
        <v>109</v>
      </c>
      <c r="D85" s="142">
        <v>0.2</v>
      </c>
      <c r="E85" s="142">
        <v>0.2</v>
      </c>
      <c r="F85" s="143">
        <f t="shared" si="9"/>
        <v>0</v>
      </c>
      <c r="G85" s="144">
        <v>0</v>
      </c>
      <c r="H85" s="142">
        <v>0.2</v>
      </c>
      <c r="I85" s="143">
        <f t="shared" si="10"/>
        <v>0</v>
      </c>
      <c r="J85" s="145">
        <v>0.2</v>
      </c>
      <c r="K85" s="145">
        <v>0.2</v>
      </c>
      <c r="L85" s="145">
        <v>0.2</v>
      </c>
      <c r="M85" s="143">
        <f t="shared" si="11"/>
        <v>0</v>
      </c>
      <c r="N85" s="146" t="s">
        <v>20</v>
      </c>
      <c r="O85" s="146"/>
      <c r="P85" s="147"/>
      <c r="Q85" s="148"/>
      <c r="R85" s="99"/>
      <c r="S85" s="111"/>
      <c r="T85" s="111"/>
      <c r="U85" s="111"/>
    </row>
    <row r="86" spans="1:21" x14ac:dyDescent="0.25">
      <c r="A86" s="111"/>
      <c r="B86" s="112"/>
      <c r="C86" s="134" t="s">
        <v>231</v>
      </c>
      <c r="D86" s="135">
        <v>0.44</v>
      </c>
      <c r="E86" s="135">
        <v>0.43</v>
      </c>
      <c r="F86" s="136">
        <f t="shared" si="9"/>
        <v>2.3255813953488413E-2</v>
      </c>
      <c r="G86" s="137">
        <v>1275517</v>
      </c>
      <c r="H86" s="135">
        <v>0.44</v>
      </c>
      <c r="I86" s="136">
        <f t="shared" si="10"/>
        <v>0</v>
      </c>
      <c r="J86" s="138">
        <v>0.53</v>
      </c>
      <c r="K86" s="138">
        <v>0.56000000000000005</v>
      </c>
      <c r="L86" s="138">
        <v>0.4</v>
      </c>
      <c r="M86" s="136">
        <f t="shared" si="11"/>
        <v>-0.16981132075471705</v>
      </c>
      <c r="N86" s="139" t="s">
        <v>26</v>
      </c>
      <c r="O86" s="139"/>
      <c r="P86" s="140"/>
      <c r="Q86" s="71"/>
      <c r="R86" s="92"/>
      <c r="S86" s="111"/>
      <c r="T86" s="111"/>
      <c r="U86" s="111"/>
    </row>
    <row r="87" spans="1:21" x14ac:dyDescent="0.25">
      <c r="A87" s="111"/>
      <c r="B87" s="112" t="s">
        <v>110</v>
      </c>
      <c r="C87" s="141" t="s">
        <v>111</v>
      </c>
      <c r="D87" s="142">
        <v>1.1200000000000001</v>
      </c>
      <c r="E87" s="142">
        <v>1.1100000000000001</v>
      </c>
      <c r="F87" s="143">
        <f t="shared" si="9"/>
        <v>9.009009009008917E-3</v>
      </c>
      <c r="G87" s="144">
        <v>14688790</v>
      </c>
      <c r="H87" s="142">
        <v>1.08</v>
      </c>
      <c r="I87" s="143">
        <f t="shared" si="10"/>
        <v>3.7037037037036979E-2</v>
      </c>
      <c r="J87" s="145">
        <v>1.04</v>
      </c>
      <c r="K87" s="145">
        <v>1.1200000000000001</v>
      </c>
      <c r="L87" s="145">
        <v>1.04</v>
      </c>
      <c r="M87" s="143">
        <f t="shared" si="11"/>
        <v>7.6923076923077094E-2</v>
      </c>
      <c r="N87" s="146" t="s">
        <v>112</v>
      </c>
      <c r="O87" s="146"/>
      <c r="P87" s="147"/>
      <c r="Q87" s="148"/>
      <c r="R87" s="99"/>
      <c r="S87" s="111"/>
      <c r="T87" s="111"/>
      <c r="U87" s="111"/>
    </row>
    <row r="88" spans="1:21" x14ac:dyDescent="0.25">
      <c r="A88" s="111"/>
      <c r="B88" s="112" t="s">
        <v>21</v>
      </c>
      <c r="C88" s="134" t="s">
        <v>113</v>
      </c>
      <c r="D88" s="135">
        <v>0.5</v>
      </c>
      <c r="E88" s="135">
        <v>0.5</v>
      </c>
      <c r="F88" s="136">
        <f t="shared" si="9"/>
        <v>0</v>
      </c>
      <c r="G88" s="137">
        <v>0</v>
      </c>
      <c r="H88" s="135">
        <v>0.5</v>
      </c>
      <c r="I88" s="136">
        <f t="shared" si="10"/>
        <v>0</v>
      </c>
      <c r="J88" s="138">
        <v>0.5</v>
      </c>
      <c r="K88" s="138">
        <v>0.5</v>
      </c>
      <c r="L88" s="138">
        <v>0.5</v>
      </c>
      <c r="M88" s="136">
        <f t="shared" si="11"/>
        <v>0</v>
      </c>
      <c r="N88" s="139" t="s">
        <v>40</v>
      </c>
      <c r="O88" s="139"/>
      <c r="P88" s="140"/>
      <c r="Q88" s="71"/>
      <c r="R88" s="92"/>
      <c r="S88" s="111"/>
      <c r="T88" s="111"/>
      <c r="U88" s="111"/>
    </row>
    <row r="89" spans="1:21" x14ac:dyDescent="0.25">
      <c r="A89" s="111"/>
      <c r="B89" s="112"/>
      <c r="C89" s="141" t="s">
        <v>114</v>
      </c>
      <c r="D89" s="142">
        <v>1.32</v>
      </c>
      <c r="E89" s="142">
        <v>1.32</v>
      </c>
      <c r="F89" s="143">
        <f t="shared" si="9"/>
        <v>0</v>
      </c>
      <c r="G89" s="144">
        <v>0</v>
      </c>
      <c r="H89" s="142">
        <v>1.32</v>
      </c>
      <c r="I89" s="143">
        <f t="shared" si="10"/>
        <v>0</v>
      </c>
      <c r="J89" s="145">
        <f>1.32-0.05</f>
        <v>1.27</v>
      </c>
      <c r="K89" s="145">
        <v>1.32</v>
      </c>
      <c r="L89" s="145">
        <v>1.32</v>
      </c>
      <c r="M89" s="143">
        <f t="shared" si="11"/>
        <v>3.937007874015741E-2</v>
      </c>
      <c r="N89" s="146" t="s">
        <v>20</v>
      </c>
      <c r="O89" s="146"/>
      <c r="P89" s="147">
        <v>0.05</v>
      </c>
      <c r="Q89" s="148">
        <v>44676</v>
      </c>
      <c r="R89" s="99">
        <v>44700</v>
      </c>
      <c r="S89" s="111"/>
      <c r="T89" s="111"/>
      <c r="U89" s="111"/>
    </row>
    <row r="90" spans="1:21" x14ac:dyDescent="0.25">
      <c r="A90" s="111"/>
      <c r="B90" s="112" t="s">
        <v>21</v>
      </c>
      <c r="C90" s="134" t="s">
        <v>115</v>
      </c>
      <c r="D90" s="135">
        <v>3.02</v>
      </c>
      <c r="E90" s="135">
        <v>3.02</v>
      </c>
      <c r="F90" s="136">
        <f t="shared" si="9"/>
        <v>0</v>
      </c>
      <c r="G90" s="137">
        <v>0</v>
      </c>
      <c r="H90" s="135">
        <v>3.02</v>
      </c>
      <c r="I90" s="136">
        <f t="shared" si="10"/>
        <v>0</v>
      </c>
      <c r="J90" s="138">
        <f>3.02-1.91</f>
        <v>1.1100000000000001</v>
      </c>
      <c r="K90" s="138">
        <v>3.02</v>
      </c>
      <c r="L90" s="138">
        <v>3.02</v>
      </c>
      <c r="M90" s="136">
        <f t="shared" si="11"/>
        <v>1.7207207207207205</v>
      </c>
      <c r="N90" s="139" t="s">
        <v>20</v>
      </c>
      <c r="O90" s="139"/>
      <c r="P90" s="140">
        <v>1.91</v>
      </c>
      <c r="Q90" s="71">
        <v>44672</v>
      </c>
      <c r="R90" s="92">
        <v>44694</v>
      </c>
      <c r="S90" s="111"/>
      <c r="T90" s="111"/>
      <c r="U90" s="111"/>
    </row>
    <row r="91" spans="1:21" x14ac:dyDescent="0.25">
      <c r="A91" s="111"/>
      <c r="B91" s="112" t="s">
        <v>21</v>
      </c>
      <c r="C91" s="141" t="s">
        <v>116</v>
      </c>
      <c r="D91" s="142">
        <v>0.2</v>
      </c>
      <c r="E91" s="142">
        <v>0.2</v>
      </c>
      <c r="F91" s="143">
        <f t="shared" si="9"/>
        <v>0</v>
      </c>
      <c r="G91" s="144">
        <v>0</v>
      </c>
      <c r="H91" s="142">
        <v>0.2</v>
      </c>
      <c r="I91" s="143">
        <f t="shared" si="10"/>
        <v>0</v>
      </c>
      <c r="J91" s="145">
        <v>0.2</v>
      </c>
      <c r="K91" s="145">
        <v>0.2</v>
      </c>
      <c r="L91" s="145">
        <v>0.2</v>
      </c>
      <c r="M91" s="143">
        <f t="shared" si="11"/>
        <v>0</v>
      </c>
      <c r="N91" s="146" t="s">
        <v>40</v>
      </c>
      <c r="O91" s="146"/>
      <c r="P91" s="147"/>
      <c r="Q91" s="148"/>
      <c r="R91" s="99"/>
      <c r="S91" s="111"/>
      <c r="T91" s="111"/>
      <c r="U91" s="111"/>
    </row>
    <row r="92" spans="1:21" x14ac:dyDescent="0.25">
      <c r="A92" s="111"/>
      <c r="B92" s="112" t="s">
        <v>117</v>
      </c>
      <c r="C92" s="134" t="s">
        <v>118</v>
      </c>
      <c r="D92" s="135">
        <v>6</v>
      </c>
      <c r="E92" s="135">
        <v>6</v>
      </c>
      <c r="F92" s="136">
        <f t="shared" si="9"/>
        <v>0</v>
      </c>
      <c r="G92" s="137">
        <v>692977</v>
      </c>
      <c r="H92" s="135">
        <v>5.8</v>
      </c>
      <c r="I92" s="136">
        <f t="shared" si="10"/>
        <v>3.4482758620689724E-2</v>
      </c>
      <c r="J92" s="138">
        <f>6.3-0.5</f>
        <v>5.8</v>
      </c>
      <c r="K92" s="138">
        <v>7.8</v>
      </c>
      <c r="L92" s="138">
        <v>5.8</v>
      </c>
      <c r="M92" s="136">
        <f t="shared" si="11"/>
        <v>3.4482758620689724E-2</v>
      </c>
      <c r="N92" s="139" t="s">
        <v>20</v>
      </c>
      <c r="O92" s="139" t="s">
        <v>257</v>
      </c>
      <c r="P92" s="140">
        <v>0.5</v>
      </c>
      <c r="Q92" s="71">
        <v>44634</v>
      </c>
      <c r="R92" s="92">
        <v>44643</v>
      </c>
      <c r="S92" s="111"/>
      <c r="T92" s="111"/>
      <c r="U92" s="111"/>
    </row>
    <row r="93" spans="1:21" x14ac:dyDescent="0.25">
      <c r="A93" s="111"/>
      <c r="B93" s="112" t="s">
        <v>21</v>
      </c>
      <c r="C93" s="141" t="s">
        <v>119</v>
      </c>
      <c r="D93" s="142">
        <v>7.15</v>
      </c>
      <c r="E93" s="142">
        <v>7.15</v>
      </c>
      <c r="F93" s="143">
        <f t="shared" si="9"/>
        <v>0</v>
      </c>
      <c r="G93" s="144">
        <v>163127</v>
      </c>
      <c r="H93" s="142">
        <v>6.6</v>
      </c>
      <c r="I93" s="143">
        <f t="shared" si="10"/>
        <v>8.3333333333333481E-2</v>
      </c>
      <c r="J93" s="145">
        <f>7.9-0.4</f>
        <v>7.5</v>
      </c>
      <c r="K93" s="145">
        <v>8</v>
      </c>
      <c r="L93" s="145">
        <v>6.5</v>
      </c>
      <c r="M93" s="143">
        <f t="shared" si="11"/>
        <v>-4.6666666666666634E-2</v>
      </c>
      <c r="N93" s="146" t="s">
        <v>20</v>
      </c>
      <c r="O93" s="146"/>
      <c r="P93" s="147">
        <v>0.4</v>
      </c>
      <c r="Q93" s="148">
        <v>44648</v>
      </c>
      <c r="R93" s="99">
        <v>44659</v>
      </c>
      <c r="S93" s="111"/>
      <c r="T93" s="111"/>
      <c r="U93" s="111"/>
    </row>
    <row r="94" spans="1:21" x14ac:dyDescent="0.25">
      <c r="A94" s="111"/>
      <c r="B94" s="112" t="s">
        <v>21</v>
      </c>
      <c r="C94" s="134" t="s">
        <v>120</v>
      </c>
      <c r="D94" s="135">
        <v>0.2</v>
      </c>
      <c r="E94" s="135">
        <v>0.2</v>
      </c>
      <c r="F94" s="136">
        <f t="shared" si="9"/>
        <v>0</v>
      </c>
      <c r="G94" s="137">
        <v>4450</v>
      </c>
      <c r="H94" s="135">
        <v>0.2</v>
      </c>
      <c r="I94" s="136">
        <f t="shared" si="10"/>
        <v>0</v>
      </c>
      <c r="J94" s="138">
        <v>0.2</v>
      </c>
      <c r="K94" s="138">
        <v>0.2</v>
      </c>
      <c r="L94" s="138">
        <v>0.2</v>
      </c>
      <c r="M94" s="136">
        <f t="shared" si="11"/>
        <v>0</v>
      </c>
      <c r="N94" s="139" t="s">
        <v>31</v>
      </c>
      <c r="O94" s="139"/>
      <c r="P94" s="140"/>
      <c r="Q94" s="71"/>
      <c r="R94" s="92"/>
      <c r="S94" s="111"/>
      <c r="T94" s="111"/>
      <c r="U94" s="111"/>
    </row>
    <row r="95" spans="1:21" x14ac:dyDescent="0.25">
      <c r="A95" s="111"/>
      <c r="B95" s="112" t="s">
        <v>21</v>
      </c>
      <c r="C95" s="141" t="s">
        <v>121</v>
      </c>
      <c r="D95" s="142">
        <v>552.20000000000005</v>
      </c>
      <c r="E95" s="142">
        <v>552.20000000000005</v>
      </c>
      <c r="F95" s="143">
        <f t="shared" si="9"/>
        <v>0</v>
      </c>
      <c r="G95" s="144">
        <v>0</v>
      </c>
      <c r="H95" s="142">
        <v>552.20000000000005</v>
      </c>
      <c r="I95" s="143">
        <f t="shared" si="10"/>
        <v>0</v>
      </c>
      <c r="J95" s="145">
        <v>552.20000000000005</v>
      </c>
      <c r="K95" s="145">
        <v>552.20000000000005</v>
      </c>
      <c r="L95" s="145">
        <v>552.20000000000005</v>
      </c>
      <c r="M95" s="143">
        <f t="shared" si="11"/>
        <v>0</v>
      </c>
      <c r="N95" s="146" t="s">
        <v>40</v>
      </c>
      <c r="O95" s="146"/>
      <c r="P95" s="147"/>
      <c r="Q95" s="148"/>
      <c r="R95" s="99"/>
      <c r="S95" s="111"/>
      <c r="T95" s="111"/>
      <c r="U95" s="111"/>
    </row>
    <row r="96" spans="1:21" x14ac:dyDescent="0.25">
      <c r="A96" s="111"/>
      <c r="B96" s="112" t="s">
        <v>21</v>
      </c>
      <c r="C96" s="134" t="s">
        <v>122</v>
      </c>
      <c r="D96" s="135">
        <v>1</v>
      </c>
      <c r="E96" s="135">
        <v>1</v>
      </c>
      <c r="F96" s="136">
        <f t="shared" si="9"/>
        <v>0</v>
      </c>
      <c r="G96" s="137">
        <v>122000</v>
      </c>
      <c r="H96" s="135">
        <v>1</v>
      </c>
      <c r="I96" s="136">
        <f t="shared" si="10"/>
        <v>0</v>
      </c>
      <c r="J96" s="138">
        <v>0.85</v>
      </c>
      <c r="K96" s="138">
        <v>1.65</v>
      </c>
      <c r="L96" s="138">
        <v>0.77</v>
      </c>
      <c r="M96" s="136">
        <f t="shared" si="11"/>
        <v>0.17647058823529416</v>
      </c>
      <c r="N96" s="139" t="s">
        <v>20</v>
      </c>
      <c r="O96" s="139"/>
      <c r="P96" s="140"/>
      <c r="Q96" s="71"/>
      <c r="R96" s="92"/>
      <c r="S96" s="111"/>
      <c r="T96" s="111"/>
      <c r="U96" s="111"/>
    </row>
    <row r="97" spans="1:33" x14ac:dyDescent="0.25">
      <c r="A97" s="111"/>
      <c r="B97" s="112"/>
      <c r="C97" s="141" t="s">
        <v>123</v>
      </c>
      <c r="D97" s="142">
        <v>13.45</v>
      </c>
      <c r="E97" s="142">
        <v>13.5</v>
      </c>
      <c r="F97" s="143">
        <f t="shared" si="9"/>
        <v>-3.7037037037037646E-3</v>
      </c>
      <c r="G97" s="144">
        <v>1689022</v>
      </c>
      <c r="H97" s="142">
        <v>13.2</v>
      </c>
      <c r="I97" s="143">
        <f t="shared" si="10"/>
        <v>1.8939393939394034E-2</v>
      </c>
      <c r="J97" s="145">
        <f>9.95-0.5</f>
        <v>9.4499999999999993</v>
      </c>
      <c r="K97" s="145">
        <v>14.15</v>
      </c>
      <c r="L97" s="145">
        <v>9.9</v>
      </c>
      <c r="M97" s="143">
        <f t="shared" si="11"/>
        <v>0.42328042328042326</v>
      </c>
      <c r="N97" s="146" t="s">
        <v>20</v>
      </c>
      <c r="O97" s="146" t="s">
        <v>257</v>
      </c>
      <c r="P97" s="147">
        <v>0.5</v>
      </c>
      <c r="Q97" s="148" t="s">
        <v>262</v>
      </c>
      <c r="R97" s="99">
        <v>44643</v>
      </c>
      <c r="S97" s="111"/>
      <c r="T97" s="111"/>
      <c r="U97" s="111"/>
    </row>
    <row r="98" spans="1:33" x14ac:dyDescent="0.25">
      <c r="A98" s="111"/>
      <c r="B98" s="112" t="s">
        <v>21</v>
      </c>
      <c r="C98" s="134" t="s">
        <v>253</v>
      </c>
      <c r="D98" s="135">
        <v>24.05</v>
      </c>
      <c r="E98" s="135">
        <v>24</v>
      </c>
      <c r="F98" s="136">
        <f t="shared" si="9"/>
        <v>2.083333333333437E-3</v>
      </c>
      <c r="G98" s="137">
        <v>12099139</v>
      </c>
      <c r="H98" s="135">
        <v>24</v>
      </c>
      <c r="I98" s="136">
        <f t="shared" si="10"/>
        <v>2.083333333333437E-3</v>
      </c>
      <c r="J98" s="138">
        <v>19.5</v>
      </c>
      <c r="K98" s="138">
        <v>26.5</v>
      </c>
      <c r="L98" s="138">
        <v>19.05</v>
      </c>
      <c r="M98" s="136">
        <f t="shared" si="11"/>
        <v>0.23333333333333339</v>
      </c>
      <c r="N98" s="139" t="s">
        <v>20</v>
      </c>
      <c r="O98" s="139"/>
      <c r="P98" s="140"/>
      <c r="Q98" s="71"/>
      <c r="R98" s="92"/>
      <c r="S98" s="111"/>
      <c r="T98" s="111"/>
      <c r="U98" s="111"/>
    </row>
    <row r="99" spans="1:33" x14ac:dyDescent="0.25">
      <c r="B99" s="112"/>
      <c r="C99" s="141"/>
      <c r="D99" s="142"/>
      <c r="E99" s="142"/>
      <c r="F99" s="143"/>
      <c r="G99" s="144"/>
      <c r="H99" s="142"/>
      <c r="I99" s="143"/>
      <c r="J99" s="145"/>
      <c r="K99" s="145"/>
      <c r="L99" s="145"/>
      <c r="M99" s="143"/>
      <c r="N99" s="146"/>
      <c r="O99" s="146"/>
      <c r="P99" s="147"/>
      <c r="Q99" s="148"/>
      <c r="R99" s="99"/>
    </row>
    <row r="100" spans="1:33" x14ac:dyDescent="0.25">
      <c r="B100" s="152" t="s">
        <v>124</v>
      </c>
      <c r="C100" s="149"/>
      <c r="D100" s="149" t="s">
        <v>223</v>
      </c>
      <c r="E100" s="149" t="s">
        <v>223</v>
      </c>
      <c r="F100" s="149"/>
      <c r="G100" s="149"/>
      <c r="H100" s="149" t="s">
        <v>223</v>
      </c>
      <c r="I100" s="149"/>
      <c r="J100" s="149" t="s">
        <v>223</v>
      </c>
      <c r="K100" s="149"/>
      <c r="L100" s="149"/>
      <c r="M100" s="149"/>
      <c r="N100" s="149"/>
      <c r="O100" s="149"/>
      <c r="P100" s="149"/>
      <c r="Q100" s="149"/>
      <c r="R100" s="153"/>
    </row>
    <row r="101" spans="1:33" x14ac:dyDescent="0.25">
      <c r="B101" s="88" t="s">
        <v>125</v>
      </c>
      <c r="C101" s="134" t="s">
        <v>126</v>
      </c>
      <c r="D101" s="135">
        <v>5.79</v>
      </c>
      <c r="E101" s="135">
        <v>5.79</v>
      </c>
      <c r="F101" s="136">
        <f t="shared" ref="F101:F107" si="12">D101/E101-1</f>
        <v>0</v>
      </c>
      <c r="G101" s="137">
        <v>0</v>
      </c>
      <c r="H101" s="135">
        <v>5.79</v>
      </c>
      <c r="I101" s="136">
        <f t="shared" ref="I101:I107" si="13">D101/H101-1</f>
        <v>0</v>
      </c>
      <c r="J101" s="138">
        <v>5.79</v>
      </c>
      <c r="K101" s="138">
        <v>5.79</v>
      </c>
      <c r="L101" s="138">
        <v>5.79</v>
      </c>
      <c r="M101" s="136">
        <f>D101/J101-1</f>
        <v>0</v>
      </c>
      <c r="N101" s="139" t="s">
        <v>20</v>
      </c>
      <c r="O101" s="139"/>
      <c r="P101" s="140"/>
      <c r="Q101" s="71"/>
      <c r="R101" s="92"/>
    </row>
    <row r="102" spans="1:33" x14ac:dyDescent="0.25">
      <c r="B102" s="88" t="s">
        <v>127</v>
      </c>
      <c r="C102" s="141" t="s">
        <v>128</v>
      </c>
      <c r="D102" s="142">
        <v>2.1800000000000002</v>
      </c>
      <c r="E102" s="142">
        <v>2.1800000000000002</v>
      </c>
      <c r="F102" s="143">
        <f t="shared" si="12"/>
        <v>0</v>
      </c>
      <c r="G102" s="144">
        <v>58054</v>
      </c>
      <c r="H102" s="142">
        <v>2.1800000000000002</v>
      </c>
      <c r="I102" s="143">
        <f t="shared" si="13"/>
        <v>0</v>
      </c>
      <c r="J102" s="145">
        <v>1.99</v>
      </c>
      <c r="K102" s="145">
        <v>2.1800000000000002</v>
      </c>
      <c r="L102" s="145">
        <v>1.99</v>
      </c>
      <c r="M102" s="143">
        <f t="shared" ref="M102:M107" si="14">D102/J102-1</f>
        <v>9.5477386934673447E-2</v>
      </c>
      <c r="N102" s="146" t="s">
        <v>20</v>
      </c>
      <c r="O102" s="146"/>
      <c r="P102" s="147"/>
      <c r="Q102" s="148"/>
      <c r="R102" s="99"/>
    </row>
    <row r="103" spans="1:33" x14ac:dyDescent="0.25">
      <c r="B103" s="88" t="s">
        <v>21</v>
      </c>
      <c r="C103" s="134" t="s">
        <v>129</v>
      </c>
      <c r="D103" s="135">
        <v>8.15</v>
      </c>
      <c r="E103" s="135">
        <v>8.15</v>
      </c>
      <c r="F103" s="136">
        <f t="shared" si="12"/>
        <v>0</v>
      </c>
      <c r="G103" s="137">
        <v>103545</v>
      </c>
      <c r="H103" s="135">
        <v>8.1999999999999993</v>
      </c>
      <c r="I103" s="136">
        <f t="shared" si="13"/>
        <v>-6.0975609756096505E-3</v>
      </c>
      <c r="J103" s="138">
        <v>6.22</v>
      </c>
      <c r="K103" s="138">
        <v>8.5500000000000007</v>
      </c>
      <c r="L103" s="138">
        <v>6.22</v>
      </c>
      <c r="M103" s="136">
        <f t="shared" si="14"/>
        <v>0.31028938906752423</v>
      </c>
      <c r="N103" s="139" t="s">
        <v>52</v>
      </c>
      <c r="O103" s="139"/>
      <c r="P103" s="140"/>
      <c r="Q103" s="71"/>
      <c r="R103" s="92"/>
    </row>
    <row r="104" spans="1:33" x14ac:dyDescent="0.25">
      <c r="B104" s="88" t="s">
        <v>21</v>
      </c>
      <c r="C104" s="141" t="s">
        <v>130</v>
      </c>
      <c r="D104" s="142">
        <v>5.85</v>
      </c>
      <c r="E104" s="142">
        <v>5.85</v>
      </c>
      <c r="F104" s="143">
        <f t="shared" si="12"/>
        <v>0</v>
      </c>
      <c r="G104" s="144">
        <v>296900</v>
      </c>
      <c r="H104" s="142">
        <v>5.8</v>
      </c>
      <c r="I104" s="143">
        <f t="shared" si="13"/>
        <v>8.6206896551723755E-3</v>
      </c>
      <c r="J104" s="145">
        <f>5.95-0.45</f>
        <v>5.5</v>
      </c>
      <c r="K104" s="145">
        <v>6.4</v>
      </c>
      <c r="L104" s="145">
        <v>5.65</v>
      </c>
      <c r="M104" s="143">
        <f t="shared" si="14"/>
        <v>6.3636363636363491E-2</v>
      </c>
      <c r="N104" s="146" t="s">
        <v>20</v>
      </c>
      <c r="O104" s="146" t="s">
        <v>257</v>
      </c>
      <c r="P104" s="147">
        <v>0.45</v>
      </c>
      <c r="Q104" s="148">
        <v>44676</v>
      </c>
      <c r="R104" s="99">
        <v>44708</v>
      </c>
    </row>
    <row r="105" spans="1:33" x14ac:dyDescent="0.25">
      <c r="B105" s="88" t="s">
        <v>21</v>
      </c>
      <c r="C105" s="134" t="s">
        <v>131</v>
      </c>
      <c r="D105" s="135">
        <v>4.4000000000000004</v>
      </c>
      <c r="E105" s="135">
        <v>4.4000000000000004</v>
      </c>
      <c r="F105" s="136">
        <f t="shared" si="12"/>
        <v>0</v>
      </c>
      <c r="G105" s="137">
        <v>162851</v>
      </c>
      <c r="H105" s="135">
        <v>4.32</v>
      </c>
      <c r="I105" s="136">
        <f t="shared" si="13"/>
        <v>1.8518518518518601E-2</v>
      </c>
      <c r="J105" s="138">
        <v>4.0199999999999996</v>
      </c>
      <c r="K105" s="138">
        <v>5.45</v>
      </c>
      <c r="L105" s="138">
        <v>4.0199999999999996</v>
      </c>
      <c r="M105" s="136">
        <f t="shared" si="14"/>
        <v>9.4527363184079727E-2</v>
      </c>
      <c r="N105" s="139" t="s">
        <v>20</v>
      </c>
      <c r="O105" s="139"/>
      <c r="P105" s="140"/>
      <c r="Q105" s="71"/>
      <c r="R105" s="92"/>
      <c r="T105" s="165"/>
      <c r="U105" s="93"/>
      <c r="V105" s="94"/>
      <c r="W105" s="95"/>
      <c r="X105" s="95"/>
      <c r="Y105" s="95"/>
      <c r="Z105" s="94"/>
      <c r="AA105" s="96"/>
      <c r="AB105" s="96"/>
      <c r="AC105" s="97"/>
      <c r="AD105" s="98"/>
      <c r="AE105" s="99"/>
    </row>
    <row r="106" spans="1:33" x14ac:dyDescent="0.25">
      <c r="B106" s="88" t="s">
        <v>21</v>
      </c>
      <c r="C106" s="141" t="s">
        <v>132</v>
      </c>
      <c r="D106" s="142">
        <v>1.58</v>
      </c>
      <c r="E106" s="142">
        <v>1.58</v>
      </c>
      <c r="F106" s="143">
        <f t="shared" si="12"/>
        <v>0</v>
      </c>
      <c r="G106" s="144">
        <v>124136</v>
      </c>
      <c r="H106" s="142">
        <v>1.36</v>
      </c>
      <c r="I106" s="143">
        <f t="shared" si="13"/>
        <v>0.16176470588235281</v>
      </c>
      <c r="J106" s="145">
        <f>1.89-0.07</f>
        <v>1.8199999999999998</v>
      </c>
      <c r="K106" s="145">
        <v>1.98</v>
      </c>
      <c r="L106" s="145">
        <v>1.36</v>
      </c>
      <c r="M106" s="143">
        <f t="shared" si="14"/>
        <v>-0.13186813186813173</v>
      </c>
      <c r="N106" s="146" t="s">
        <v>40</v>
      </c>
      <c r="O106" s="146" t="s">
        <v>257</v>
      </c>
      <c r="P106" s="147">
        <v>7.0000000000000007E-2</v>
      </c>
      <c r="Q106" s="148">
        <v>44635</v>
      </c>
      <c r="R106" s="99">
        <v>44645</v>
      </c>
      <c r="S106" s="89"/>
      <c r="T106" s="89"/>
      <c r="U106" s="66"/>
      <c r="V106" s="90"/>
      <c r="W106" s="89"/>
      <c r="X106" s="66"/>
      <c r="Y106" s="65"/>
      <c r="Z106" s="65"/>
      <c r="AA106" s="65"/>
      <c r="AB106" s="66"/>
      <c r="AE106" s="91"/>
      <c r="AF106" s="70"/>
      <c r="AG106" s="92"/>
    </row>
    <row r="107" spans="1:33" x14ac:dyDescent="0.25">
      <c r="B107" s="88" t="s">
        <v>21</v>
      </c>
      <c r="C107" s="134" t="s">
        <v>133</v>
      </c>
      <c r="D107" s="135">
        <v>1.6</v>
      </c>
      <c r="E107" s="135">
        <v>1.6</v>
      </c>
      <c r="F107" s="136">
        <f t="shared" si="12"/>
        <v>0</v>
      </c>
      <c r="G107" s="137">
        <v>5000</v>
      </c>
      <c r="H107" s="135">
        <v>1.6</v>
      </c>
      <c r="I107" s="136">
        <f t="shared" si="13"/>
        <v>0</v>
      </c>
      <c r="J107" s="138">
        <v>2.2000000000000002</v>
      </c>
      <c r="K107" s="138">
        <v>2.2000000000000002</v>
      </c>
      <c r="L107" s="138">
        <v>1.6</v>
      </c>
      <c r="M107" s="136">
        <f t="shared" si="14"/>
        <v>-0.27272727272727271</v>
      </c>
      <c r="N107" s="139" t="s">
        <v>20</v>
      </c>
      <c r="O107" s="139"/>
      <c r="P107" s="140"/>
      <c r="Q107" s="71"/>
      <c r="R107" s="92"/>
    </row>
    <row r="108" spans="1:33" x14ac:dyDescent="0.25">
      <c r="B108" s="88" t="s">
        <v>21</v>
      </c>
      <c r="C108" s="141" t="s">
        <v>21</v>
      </c>
      <c r="D108" s="142" t="s">
        <v>223</v>
      </c>
      <c r="E108" s="142" t="s">
        <v>223</v>
      </c>
      <c r="F108" s="143"/>
      <c r="G108" s="144"/>
      <c r="H108" s="142" t="s">
        <v>223</v>
      </c>
      <c r="I108" s="143"/>
      <c r="J108" s="145" t="s">
        <v>223</v>
      </c>
      <c r="K108" s="145"/>
      <c r="L108" s="145"/>
      <c r="M108" s="143"/>
      <c r="N108" s="146"/>
      <c r="O108" s="146"/>
      <c r="P108" s="147"/>
      <c r="Q108" s="148"/>
      <c r="R108" s="99"/>
    </row>
    <row r="109" spans="1:33" x14ac:dyDescent="0.25">
      <c r="B109" s="152" t="s">
        <v>134</v>
      </c>
      <c r="C109" s="149"/>
      <c r="D109" s="149" t="s">
        <v>223</v>
      </c>
      <c r="E109" s="149" t="s">
        <v>223</v>
      </c>
      <c r="F109" s="149"/>
      <c r="G109" s="149"/>
      <c r="H109" s="149" t="s">
        <v>223</v>
      </c>
      <c r="I109" s="149"/>
      <c r="J109" s="149" t="s">
        <v>223</v>
      </c>
      <c r="K109" s="149"/>
      <c r="L109" s="149"/>
      <c r="M109" s="149"/>
      <c r="N109" s="149"/>
      <c r="O109" s="149"/>
      <c r="P109" s="149"/>
      <c r="Q109" s="149"/>
      <c r="R109" s="153"/>
    </row>
    <row r="110" spans="1:33" x14ac:dyDescent="0.25">
      <c r="B110" s="88" t="s">
        <v>135</v>
      </c>
      <c r="C110" s="141" t="s">
        <v>229</v>
      </c>
      <c r="D110" s="142">
        <v>0.54</v>
      </c>
      <c r="E110" s="142">
        <v>0.51</v>
      </c>
      <c r="F110" s="143">
        <f t="shared" ref="F110:F118" si="15">D110/E110-1</f>
        <v>5.8823529411764719E-2</v>
      </c>
      <c r="G110" s="144">
        <v>934800</v>
      </c>
      <c r="H110" s="142">
        <v>0.5</v>
      </c>
      <c r="I110" s="143">
        <f t="shared" ref="I110:I118" si="16">D110/H110-1</f>
        <v>8.0000000000000071E-2</v>
      </c>
      <c r="J110" s="145">
        <v>0.38</v>
      </c>
      <c r="K110" s="145">
        <v>0.61</v>
      </c>
      <c r="L110" s="145">
        <v>0.35</v>
      </c>
      <c r="M110" s="143">
        <f t="shared" ref="M110:M117" si="17">D110/J110-1</f>
        <v>0.42105263157894735</v>
      </c>
      <c r="N110" s="146" t="s">
        <v>20</v>
      </c>
      <c r="O110" s="146"/>
      <c r="P110" s="147">
        <v>0.04</v>
      </c>
      <c r="Q110" s="148">
        <v>44722</v>
      </c>
      <c r="R110" s="99">
        <v>44736</v>
      </c>
    </row>
    <row r="111" spans="1:33" x14ac:dyDescent="0.25">
      <c r="A111" s="111"/>
      <c r="B111" s="88" t="s">
        <v>136</v>
      </c>
      <c r="C111" s="134" t="s">
        <v>137</v>
      </c>
      <c r="D111" s="135">
        <v>0.2</v>
      </c>
      <c r="E111" s="135">
        <v>0.2</v>
      </c>
      <c r="F111" s="136">
        <f t="shared" si="15"/>
        <v>0</v>
      </c>
      <c r="G111" s="137">
        <v>0</v>
      </c>
      <c r="H111" s="135">
        <v>0.2</v>
      </c>
      <c r="I111" s="136">
        <f t="shared" si="16"/>
        <v>0</v>
      </c>
      <c r="J111" s="138">
        <v>0.2</v>
      </c>
      <c r="K111" s="138">
        <v>0.2</v>
      </c>
      <c r="L111" s="138">
        <v>0.2</v>
      </c>
      <c r="M111" s="136">
        <f t="shared" si="17"/>
        <v>0</v>
      </c>
      <c r="N111" s="139" t="s">
        <v>52</v>
      </c>
      <c r="O111" s="139"/>
      <c r="P111" s="140"/>
      <c r="Q111" s="71"/>
      <c r="R111" s="92"/>
      <c r="S111" s="111"/>
      <c r="T111" s="111"/>
      <c r="U111" s="111"/>
    </row>
    <row r="112" spans="1:33" x14ac:dyDescent="0.25">
      <c r="A112" s="111"/>
      <c r="B112" s="112" t="s">
        <v>138</v>
      </c>
      <c r="C112" s="141" t="s">
        <v>139</v>
      </c>
      <c r="D112" s="142">
        <v>0.88</v>
      </c>
      <c r="E112" s="142">
        <v>0.88</v>
      </c>
      <c r="F112" s="143">
        <f t="shared" si="15"/>
        <v>0</v>
      </c>
      <c r="G112" s="144">
        <v>0</v>
      </c>
      <c r="H112" s="142">
        <v>0.88</v>
      </c>
      <c r="I112" s="143">
        <f t="shared" si="16"/>
        <v>0</v>
      </c>
      <c r="J112" s="145">
        <v>1.1200000000000001</v>
      </c>
      <c r="K112" s="145">
        <v>1.23</v>
      </c>
      <c r="L112" s="145">
        <v>0.88</v>
      </c>
      <c r="M112" s="143">
        <f t="shared" si="17"/>
        <v>-0.2142857142857143</v>
      </c>
      <c r="N112" s="146" t="s">
        <v>20</v>
      </c>
      <c r="O112" s="146"/>
      <c r="P112" s="147"/>
      <c r="Q112" s="148"/>
      <c r="R112" s="99"/>
      <c r="S112" s="111"/>
      <c r="T112" s="111"/>
      <c r="U112" s="111"/>
    </row>
    <row r="113" spans="1:21" x14ac:dyDescent="0.25">
      <c r="A113" s="111"/>
      <c r="B113" s="112"/>
      <c r="C113" s="134" t="s">
        <v>140</v>
      </c>
      <c r="D113" s="135">
        <v>3.99</v>
      </c>
      <c r="E113" s="135">
        <v>3.99</v>
      </c>
      <c r="F113" s="136">
        <f t="shared" si="15"/>
        <v>0</v>
      </c>
      <c r="G113" s="137">
        <v>6000</v>
      </c>
      <c r="H113" s="135">
        <v>3.99</v>
      </c>
      <c r="I113" s="136">
        <f t="shared" si="16"/>
        <v>0</v>
      </c>
      <c r="J113" s="138">
        <v>3</v>
      </c>
      <c r="K113" s="138">
        <v>3.99</v>
      </c>
      <c r="L113" s="138">
        <v>3</v>
      </c>
      <c r="M113" s="136">
        <f t="shared" si="17"/>
        <v>0.33000000000000007</v>
      </c>
      <c r="N113" s="139" t="s">
        <v>20</v>
      </c>
      <c r="O113" s="139"/>
      <c r="P113" s="140"/>
      <c r="Q113" s="71"/>
      <c r="R113" s="92"/>
      <c r="S113" s="111"/>
      <c r="T113" s="111"/>
      <c r="U113" s="111"/>
    </row>
    <row r="114" spans="1:21" x14ac:dyDescent="0.25">
      <c r="A114" s="111"/>
      <c r="B114" s="112" t="s">
        <v>21</v>
      </c>
      <c r="C114" s="141" t="s">
        <v>141</v>
      </c>
      <c r="D114" s="142">
        <v>0.96</v>
      </c>
      <c r="E114" s="142">
        <v>0.96</v>
      </c>
      <c r="F114" s="143">
        <f t="shared" si="15"/>
        <v>0</v>
      </c>
      <c r="G114" s="144">
        <v>0</v>
      </c>
      <c r="H114" s="142">
        <v>0.96</v>
      </c>
      <c r="I114" s="143">
        <f t="shared" si="16"/>
        <v>0</v>
      </c>
      <c r="J114" s="145">
        <v>0.96</v>
      </c>
      <c r="K114" s="145">
        <v>0.96</v>
      </c>
      <c r="L114" s="145">
        <v>0.96</v>
      </c>
      <c r="M114" s="143">
        <f t="shared" si="17"/>
        <v>0</v>
      </c>
      <c r="N114" s="146" t="s">
        <v>40</v>
      </c>
      <c r="O114" s="146"/>
      <c r="P114" s="147"/>
      <c r="Q114" s="148"/>
      <c r="R114" s="99"/>
      <c r="S114" s="111"/>
      <c r="T114" s="111"/>
      <c r="U114" s="111"/>
    </row>
    <row r="115" spans="1:21" x14ac:dyDescent="0.25">
      <c r="A115" s="111"/>
      <c r="B115" s="112" t="s">
        <v>142</v>
      </c>
      <c r="C115" s="134" t="s">
        <v>143</v>
      </c>
      <c r="D115" s="135">
        <v>0.21</v>
      </c>
      <c r="E115" s="135">
        <v>0.21</v>
      </c>
      <c r="F115" s="136">
        <f t="shared" si="15"/>
        <v>0</v>
      </c>
      <c r="G115" s="137">
        <v>3501539</v>
      </c>
      <c r="H115" s="135">
        <v>0.22</v>
      </c>
      <c r="I115" s="136">
        <f t="shared" si="16"/>
        <v>-4.5454545454545525E-2</v>
      </c>
      <c r="J115" s="138">
        <v>0.2</v>
      </c>
      <c r="K115" s="138">
        <v>0.24</v>
      </c>
      <c r="L115" s="138">
        <v>0.2</v>
      </c>
      <c r="M115" s="136">
        <f t="shared" si="17"/>
        <v>4.9999999999999822E-2</v>
      </c>
      <c r="N115" s="139" t="s">
        <v>20</v>
      </c>
      <c r="O115" s="139"/>
      <c r="P115" s="140"/>
      <c r="Q115" s="71"/>
      <c r="R115" s="92"/>
      <c r="S115" s="111"/>
      <c r="T115" s="111"/>
      <c r="U115" s="111"/>
    </row>
    <row r="116" spans="1:21" x14ac:dyDescent="0.25">
      <c r="A116" s="111"/>
      <c r="B116" s="112" t="s">
        <v>21</v>
      </c>
      <c r="C116" s="141" t="s">
        <v>144</v>
      </c>
      <c r="D116" s="142">
        <v>2.9</v>
      </c>
      <c r="E116" s="142">
        <v>2.9</v>
      </c>
      <c r="F116" s="143">
        <f t="shared" si="15"/>
        <v>0</v>
      </c>
      <c r="G116" s="144">
        <v>45261</v>
      </c>
      <c r="H116" s="142">
        <v>2.65</v>
      </c>
      <c r="I116" s="143">
        <f t="shared" si="16"/>
        <v>9.4339622641509413E-2</v>
      </c>
      <c r="J116" s="145">
        <v>1.89</v>
      </c>
      <c r="K116" s="145">
        <v>2.9</v>
      </c>
      <c r="L116" s="145">
        <v>1.89</v>
      </c>
      <c r="M116" s="143">
        <f t="shared" si="17"/>
        <v>0.53439153439153442</v>
      </c>
      <c r="N116" s="146" t="s">
        <v>20</v>
      </c>
      <c r="O116" s="146"/>
      <c r="P116" s="147"/>
      <c r="Q116" s="148"/>
      <c r="R116" s="99"/>
      <c r="S116" s="111"/>
      <c r="T116" s="111"/>
      <c r="U116" s="111"/>
    </row>
    <row r="117" spans="1:21" x14ac:dyDescent="0.25">
      <c r="B117" s="112" t="s">
        <v>145</v>
      </c>
      <c r="C117" s="134" t="s">
        <v>146</v>
      </c>
      <c r="D117" s="135">
        <v>214.5</v>
      </c>
      <c r="E117" s="135">
        <v>214</v>
      </c>
      <c r="F117" s="136">
        <f t="shared" si="15"/>
        <v>2.3364485981307581E-3</v>
      </c>
      <c r="G117" s="137">
        <v>3314344</v>
      </c>
      <c r="H117" s="135">
        <v>213</v>
      </c>
      <c r="I117" s="136">
        <f t="shared" si="16"/>
        <v>7.0422535211267512E-3</v>
      </c>
      <c r="J117" s="138">
        <f>197-8.57</f>
        <v>188.43</v>
      </c>
      <c r="K117" s="138">
        <v>214.5</v>
      </c>
      <c r="L117" s="138">
        <v>185.5</v>
      </c>
      <c r="M117" s="136">
        <f t="shared" si="17"/>
        <v>0.13835376532399302</v>
      </c>
      <c r="N117" s="139" t="s">
        <v>20</v>
      </c>
      <c r="O117" s="139" t="s">
        <v>257</v>
      </c>
      <c r="P117" s="140">
        <v>8.57</v>
      </c>
      <c r="Q117" s="71" t="s">
        <v>263</v>
      </c>
      <c r="R117" s="92">
        <v>44679</v>
      </c>
    </row>
    <row r="118" spans="1:21" x14ac:dyDescent="0.25">
      <c r="A118" s="111"/>
      <c r="B118" s="88"/>
      <c r="C118" s="141" t="s">
        <v>147</v>
      </c>
      <c r="D118" s="142">
        <v>1386</v>
      </c>
      <c r="E118" s="142">
        <v>1320</v>
      </c>
      <c r="F118" s="143">
        <f t="shared" si="15"/>
        <v>5.0000000000000044E-2</v>
      </c>
      <c r="G118" s="144">
        <v>210713</v>
      </c>
      <c r="H118" s="142">
        <v>1320</v>
      </c>
      <c r="I118" s="143">
        <f t="shared" si="16"/>
        <v>5.0000000000000044E-2</v>
      </c>
      <c r="J118" s="145">
        <v>955</v>
      </c>
      <c r="K118" s="145">
        <v>1386</v>
      </c>
      <c r="L118" s="145">
        <v>955</v>
      </c>
      <c r="M118" s="143">
        <f>D118/J118-1</f>
        <v>0.45130890052356021</v>
      </c>
      <c r="N118" s="146" t="s">
        <v>40</v>
      </c>
      <c r="O118" s="146"/>
      <c r="P118" s="147"/>
      <c r="Q118" s="148"/>
      <c r="R118" s="99"/>
      <c r="S118" s="111"/>
      <c r="T118" s="111"/>
      <c r="U118" s="111"/>
    </row>
    <row r="119" spans="1:21" x14ac:dyDescent="0.25">
      <c r="B119" s="112" t="s">
        <v>21</v>
      </c>
      <c r="C119" s="134" t="s">
        <v>21</v>
      </c>
      <c r="D119" s="135"/>
      <c r="E119" s="135"/>
      <c r="F119" s="136"/>
      <c r="G119" s="137"/>
      <c r="H119" s="135"/>
      <c r="I119" s="136"/>
      <c r="J119" s="138"/>
      <c r="K119" s="138"/>
      <c r="L119" s="138"/>
      <c r="M119" s="136"/>
      <c r="N119" s="139"/>
      <c r="O119" s="139"/>
      <c r="P119" s="140"/>
      <c r="Q119" s="71"/>
      <c r="R119" s="92"/>
    </row>
    <row r="120" spans="1:21" x14ac:dyDescent="0.25">
      <c r="A120" s="111"/>
      <c r="B120" s="152" t="s">
        <v>148</v>
      </c>
      <c r="C120" s="149"/>
      <c r="D120" s="149" t="s">
        <v>223</v>
      </c>
      <c r="E120" s="149" t="s">
        <v>223</v>
      </c>
      <c r="F120" s="149"/>
      <c r="G120" s="149"/>
      <c r="H120" s="149" t="s">
        <v>223</v>
      </c>
      <c r="I120" s="149"/>
      <c r="J120" s="149" t="s">
        <v>223</v>
      </c>
      <c r="K120" s="149"/>
      <c r="L120" s="149"/>
      <c r="M120" s="149"/>
      <c r="N120" s="149"/>
      <c r="O120" s="149"/>
      <c r="P120" s="149"/>
      <c r="Q120" s="149"/>
      <c r="R120" s="153"/>
      <c r="S120" s="111"/>
      <c r="T120" s="111"/>
      <c r="U120" s="111"/>
    </row>
    <row r="121" spans="1:21" x14ac:dyDescent="0.25">
      <c r="A121" s="111"/>
      <c r="B121" s="112" t="s">
        <v>149</v>
      </c>
      <c r="C121" s="134" t="s">
        <v>150</v>
      </c>
      <c r="D121" s="135">
        <v>62.5</v>
      </c>
      <c r="E121" s="135">
        <v>62.5</v>
      </c>
      <c r="F121" s="136">
        <f t="shared" ref="F121:F130" si="18">D121/E121-1</f>
        <v>0</v>
      </c>
      <c r="G121" s="137">
        <v>0</v>
      </c>
      <c r="H121" s="135">
        <v>62.5</v>
      </c>
      <c r="I121" s="136">
        <f t="shared" ref="I121:I130" si="19">D121/H121-1</f>
        <v>0</v>
      </c>
      <c r="J121" s="138">
        <v>62.5</v>
      </c>
      <c r="K121" s="138">
        <v>62.5</v>
      </c>
      <c r="L121" s="138">
        <v>62.5</v>
      </c>
      <c r="M121" s="136">
        <f t="shared" ref="M121:M130" si="20">D121/J121-1</f>
        <v>0</v>
      </c>
      <c r="N121" s="139" t="s">
        <v>151</v>
      </c>
      <c r="O121" s="139"/>
      <c r="P121" s="140"/>
      <c r="Q121" s="71"/>
      <c r="R121" s="92"/>
      <c r="S121" s="111"/>
      <c r="T121" s="111"/>
      <c r="U121" s="111"/>
    </row>
    <row r="122" spans="1:21" x14ac:dyDescent="0.25">
      <c r="A122" s="111"/>
      <c r="B122" s="112" t="s">
        <v>21</v>
      </c>
      <c r="C122" s="141" t="s">
        <v>152</v>
      </c>
      <c r="D122" s="142">
        <v>7.7</v>
      </c>
      <c r="E122" s="142">
        <v>7.7</v>
      </c>
      <c r="F122" s="143">
        <f t="shared" si="18"/>
        <v>0</v>
      </c>
      <c r="G122" s="144">
        <v>159850</v>
      </c>
      <c r="H122" s="142">
        <v>7.7</v>
      </c>
      <c r="I122" s="143">
        <f t="shared" si="19"/>
        <v>0</v>
      </c>
      <c r="J122" s="145">
        <f>8.55-0.4</f>
        <v>8.15</v>
      </c>
      <c r="K122" s="145">
        <v>8.5500000000000007</v>
      </c>
      <c r="L122" s="145">
        <v>6.15</v>
      </c>
      <c r="M122" s="143">
        <f t="shared" si="20"/>
        <v>-5.5214723926380382E-2</v>
      </c>
      <c r="N122" s="146" t="s">
        <v>20</v>
      </c>
      <c r="O122" s="146"/>
      <c r="P122" s="147">
        <v>0.4</v>
      </c>
      <c r="Q122" s="148">
        <v>44673</v>
      </c>
      <c r="R122" s="99">
        <v>44700</v>
      </c>
      <c r="S122" s="111"/>
      <c r="T122" s="111"/>
      <c r="U122" s="111"/>
    </row>
    <row r="123" spans="1:21" x14ac:dyDescent="0.25">
      <c r="A123" s="111"/>
      <c r="B123" s="112" t="s">
        <v>21</v>
      </c>
      <c r="C123" s="134" t="s">
        <v>153</v>
      </c>
      <c r="D123" s="135">
        <v>21.9</v>
      </c>
      <c r="E123" s="135">
        <v>21.9</v>
      </c>
      <c r="F123" s="136">
        <f t="shared" si="18"/>
        <v>0</v>
      </c>
      <c r="G123" s="137">
        <v>341604</v>
      </c>
      <c r="H123" s="135">
        <v>19.95</v>
      </c>
      <c r="I123" s="136">
        <f t="shared" si="19"/>
        <v>9.7744360902255689E-2</v>
      </c>
      <c r="J123" s="138">
        <v>19.45</v>
      </c>
      <c r="K123" s="138">
        <v>21.9</v>
      </c>
      <c r="L123" s="138">
        <v>17.55</v>
      </c>
      <c r="M123" s="136">
        <f t="shared" si="20"/>
        <v>0.12596401028277637</v>
      </c>
      <c r="N123" s="139" t="s">
        <v>20</v>
      </c>
      <c r="O123" s="139"/>
      <c r="P123" s="140">
        <v>1.25</v>
      </c>
      <c r="Q123" s="71">
        <v>44714</v>
      </c>
      <c r="R123" s="92">
        <v>44729</v>
      </c>
      <c r="S123" s="111"/>
      <c r="T123" s="111"/>
      <c r="U123" s="111"/>
    </row>
    <row r="124" spans="1:21" x14ac:dyDescent="0.25">
      <c r="A124" s="111"/>
      <c r="B124" s="112" t="s">
        <v>21</v>
      </c>
      <c r="C124" s="141" t="s">
        <v>154</v>
      </c>
      <c r="D124" s="142">
        <v>68.650000000000006</v>
      </c>
      <c r="E124" s="142">
        <v>68.650000000000006</v>
      </c>
      <c r="F124" s="143">
        <f t="shared" si="18"/>
        <v>0</v>
      </c>
      <c r="G124" s="144">
        <v>242633</v>
      </c>
      <c r="H124" s="142">
        <v>68</v>
      </c>
      <c r="I124" s="143">
        <f t="shared" si="19"/>
        <v>9.5588235294119528E-3</v>
      </c>
      <c r="J124" s="145">
        <v>71.95</v>
      </c>
      <c r="K124" s="145">
        <v>71.95</v>
      </c>
      <c r="L124" s="145">
        <v>67.05</v>
      </c>
      <c r="M124" s="143">
        <f t="shared" si="20"/>
        <v>-4.5865184155663652E-2</v>
      </c>
      <c r="N124" s="146" t="s">
        <v>20</v>
      </c>
      <c r="O124" s="146"/>
      <c r="P124" s="147">
        <v>2.6</v>
      </c>
      <c r="Q124" s="148">
        <v>44753</v>
      </c>
      <c r="R124" s="99">
        <v>44763</v>
      </c>
      <c r="S124" s="111"/>
      <c r="T124" s="111"/>
      <c r="U124" s="111"/>
    </row>
    <row r="125" spans="1:21" x14ac:dyDescent="0.25">
      <c r="A125" s="111"/>
      <c r="B125" s="112" t="s">
        <v>21</v>
      </c>
      <c r="C125" s="134" t="s">
        <v>155</v>
      </c>
      <c r="D125" s="135">
        <v>292.39999999999998</v>
      </c>
      <c r="E125" s="135">
        <v>285.8</v>
      </c>
      <c r="F125" s="136">
        <f t="shared" si="18"/>
        <v>2.3093072078376409E-2</v>
      </c>
      <c r="G125" s="137">
        <v>604832</v>
      </c>
      <c r="H125" s="135">
        <v>285.8</v>
      </c>
      <c r="I125" s="136">
        <f t="shared" si="19"/>
        <v>2.3093072078376409E-2</v>
      </c>
      <c r="J125" s="138">
        <v>257</v>
      </c>
      <c r="K125" s="138">
        <v>292.39999999999998</v>
      </c>
      <c r="L125" s="138">
        <v>250</v>
      </c>
      <c r="M125" s="136">
        <f t="shared" si="20"/>
        <v>0.13774319066147855</v>
      </c>
      <c r="N125" s="139" t="s">
        <v>20</v>
      </c>
      <c r="O125" s="139" t="s">
        <v>257</v>
      </c>
      <c r="P125" s="140">
        <v>20</v>
      </c>
      <c r="Q125" s="71">
        <v>44712</v>
      </c>
      <c r="R125" s="92">
        <v>44727</v>
      </c>
      <c r="S125" s="111"/>
      <c r="T125" s="111"/>
      <c r="U125" s="111"/>
    </row>
    <row r="126" spans="1:21" x14ac:dyDescent="0.25">
      <c r="A126" s="111"/>
      <c r="B126" s="112" t="s">
        <v>21</v>
      </c>
      <c r="C126" s="141" t="s">
        <v>156</v>
      </c>
      <c r="D126" s="142">
        <v>3</v>
      </c>
      <c r="E126" s="142">
        <v>3</v>
      </c>
      <c r="F126" s="143">
        <f t="shared" si="18"/>
        <v>0</v>
      </c>
      <c r="G126" s="144">
        <v>175103</v>
      </c>
      <c r="H126" s="142">
        <v>2.56</v>
      </c>
      <c r="I126" s="143">
        <f t="shared" si="19"/>
        <v>0.171875</v>
      </c>
      <c r="J126" s="145">
        <v>0.46</v>
      </c>
      <c r="K126" s="145">
        <v>3</v>
      </c>
      <c r="L126" s="145">
        <v>0.46</v>
      </c>
      <c r="M126" s="143">
        <f t="shared" si="20"/>
        <v>5.5217391304347823</v>
      </c>
      <c r="N126" s="146" t="s">
        <v>20</v>
      </c>
      <c r="O126" s="146"/>
      <c r="P126" s="147"/>
      <c r="Q126" s="148"/>
      <c r="R126" s="99"/>
      <c r="S126" s="111"/>
      <c r="T126" s="111"/>
      <c r="U126" s="111"/>
    </row>
    <row r="127" spans="1:21" x14ac:dyDescent="0.25">
      <c r="A127" s="111"/>
      <c r="B127" s="112" t="s">
        <v>21</v>
      </c>
      <c r="C127" s="134" t="s">
        <v>157</v>
      </c>
      <c r="D127" s="135">
        <v>10</v>
      </c>
      <c r="E127" s="135">
        <v>10</v>
      </c>
      <c r="F127" s="136">
        <f t="shared" si="18"/>
        <v>0</v>
      </c>
      <c r="G127" s="137">
        <v>0</v>
      </c>
      <c r="H127" s="135">
        <v>10</v>
      </c>
      <c r="I127" s="136">
        <f t="shared" si="19"/>
        <v>0</v>
      </c>
      <c r="J127" s="138">
        <v>10</v>
      </c>
      <c r="K127" s="138">
        <v>10</v>
      </c>
      <c r="L127" s="138">
        <v>10</v>
      </c>
      <c r="M127" s="136">
        <f t="shared" si="20"/>
        <v>0</v>
      </c>
      <c r="N127" s="139" t="s">
        <v>20</v>
      </c>
      <c r="O127" s="139"/>
      <c r="P127" s="140"/>
      <c r="Q127" s="71"/>
      <c r="R127" s="92"/>
      <c r="S127" s="111"/>
      <c r="T127" s="111"/>
      <c r="U127" s="111"/>
    </row>
    <row r="128" spans="1:21" x14ac:dyDescent="0.25">
      <c r="A128" s="111"/>
      <c r="B128" s="112" t="s">
        <v>21</v>
      </c>
      <c r="C128" s="141" t="s">
        <v>250</v>
      </c>
      <c r="D128" s="142">
        <v>27</v>
      </c>
      <c r="E128" s="142">
        <v>27</v>
      </c>
      <c r="F128" s="143">
        <f t="shared" si="18"/>
        <v>0</v>
      </c>
      <c r="G128" s="144">
        <v>848929</v>
      </c>
      <c r="H128" s="142">
        <v>26.9</v>
      </c>
      <c r="I128" s="143">
        <f t="shared" si="19"/>
        <v>3.7174721189592308E-3</v>
      </c>
      <c r="J128" s="145">
        <f>24-1</f>
        <v>23</v>
      </c>
      <c r="K128" s="145">
        <v>27</v>
      </c>
      <c r="L128" s="145">
        <v>21.8</v>
      </c>
      <c r="M128" s="143">
        <f t="shared" si="20"/>
        <v>0.17391304347826098</v>
      </c>
      <c r="N128" s="146" t="s">
        <v>20</v>
      </c>
      <c r="O128" s="146" t="s">
        <v>257</v>
      </c>
      <c r="P128" s="147">
        <v>1</v>
      </c>
      <c r="Q128" s="148" t="s">
        <v>264</v>
      </c>
      <c r="R128" s="99">
        <v>44672</v>
      </c>
      <c r="S128" s="111"/>
      <c r="T128" s="111"/>
      <c r="U128" s="111"/>
    </row>
    <row r="129" spans="1:21" x14ac:dyDescent="0.25">
      <c r="A129" s="111"/>
      <c r="B129" s="112" t="s">
        <v>55</v>
      </c>
      <c r="C129" s="134" t="s">
        <v>158</v>
      </c>
      <c r="D129" s="135">
        <v>2.44</v>
      </c>
      <c r="E129" s="135">
        <v>2.39</v>
      </c>
      <c r="F129" s="136">
        <f t="shared" si="18"/>
        <v>2.0920502092050208E-2</v>
      </c>
      <c r="G129" s="137">
        <v>5711038</v>
      </c>
      <c r="H129" s="135">
        <v>2.2999999999999998</v>
      </c>
      <c r="I129" s="136">
        <f t="shared" si="19"/>
        <v>6.0869565217391397E-2</v>
      </c>
      <c r="J129" s="138">
        <v>2.65</v>
      </c>
      <c r="K129" s="138">
        <v>2.95</v>
      </c>
      <c r="L129" s="138">
        <v>2.0499999999999998</v>
      </c>
      <c r="M129" s="136">
        <f t="shared" si="20"/>
        <v>-7.9245283018867907E-2</v>
      </c>
      <c r="N129" s="139" t="s">
        <v>69</v>
      </c>
      <c r="O129" s="139"/>
      <c r="P129" s="140"/>
      <c r="Q129" s="71"/>
      <c r="R129" s="92"/>
      <c r="S129" s="111"/>
      <c r="T129" s="111"/>
      <c r="U129" s="111"/>
    </row>
    <row r="130" spans="1:21" x14ac:dyDescent="0.25">
      <c r="A130" s="111"/>
      <c r="B130" s="112" t="s">
        <v>21</v>
      </c>
      <c r="C130" s="141" t="s">
        <v>230</v>
      </c>
      <c r="D130" s="142">
        <v>5.45</v>
      </c>
      <c r="E130" s="142">
        <v>5.45</v>
      </c>
      <c r="F130" s="143">
        <f t="shared" si="18"/>
        <v>0</v>
      </c>
      <c r="G130" s="144">
        <v>41282</v>
      </c>
      <c r="H130" s="142">
        <v>5.45</v>
      </c>
      <c r="I130" s="143">
        <f t="shared" si="19"/>
        <v>0</v>
      </c>
      <c r="J130" s="145">
        <v>5.45</v>
      </c>
      <c r="K130" s="145">
        <v>5.45</v>
      </c>
      <c r="L130" s="145">
        <v>5.45</v>
      </c>
      <c r="M130" s="143">
        <f t="shared" si="20"/>
        <v>0</v>
      </c>
      <c r="N130" s="146" t="s">
        <v>20</v>
      </c>
      <c r="O130" s="146"/>
      <c r="P130" s="147"/>
      <c r="Q130" s="148"/>
      <c r="R130" s="99"/>
      <c r="S130" s="111"/>
      <c r="T130" s="111"/>
      <c r="U130" s="111"/>
    </row>
    <row r="131" spans="1:21" x14ac:dyDescent="0.25">
      <c r="B131" s="112" t="s">
        <v>21</v>
      </c>
      <c r="C131" s="134"/>
      <c r="D131" s="135"/>
      <c r="E131" s="135"/>
      <c r="F131" s="136"/>
      <c r="G131" s="137"/>
      <c r="H131" s="135"/>
      <c r="I131" s="136"/>
      <c r="J131" s="138"/>
      <c r="K131" s="138"/>
      <c r="L131" s="138"/>
      <c r="M131" s="136"/>
      <c r="N131" s="139"/>
      <c r="O131" s="139"/>
      <c r="P131" s="140"/>
      <c r="Q131" s="71"/>
      <c r="R131" s="92"/>
    </row>
    <row r="132" spans="1:21" x14ac:dyDescent="0.25">
      <c r="B132" s="152" t="s">
        <v>159</v>
      </c>
      <c r="C132" s="149"/>
      <c r="D132" s="149" t="s">
        <v>223</v>
      </c>
      <c r="E132" s="149" t="s">
        <v>223</v>
      </c>
      <c r="F132" s="149"/>
      <c r="G132" s="149"/>
      <c r="H132" s="149" t="s">
        <v>223</v>
      </c>
      <c r="I132" s="149"/>
      <c r="J132" s="149" t="s">
        <v>223</v>
      </c>
      <c r="K132" s="149"/>
      <c r="L132" s="149"/>
      <c r="M132" s="149"/>
      <c r="N132" s="149"/>
      <c r="O132" s="149"/>
      <c r="P132" s="149"/>
      <c r="Q132" s="149"/>
      <c r="R132" s="153"/>
    </row>
    <row r="133" spans="1:21" x14ac:dyDescent="0.25">
      <c r="B133" s="88" t="s">
        <v>160</v>
      </c>
      <c r="C133" s="134" t="s">
        <v>255</v>
      </c>
      <c r="D133" s="135">
        <v>8.6</v>
      </c>
      <c r="E133" s="135">
        <v>8.6</v>
      </c>
      <c r="F133" s="136">
        <f t="shared" ref="F133:F138" si="21">D133/E133-1</f>
        <v>0</v>
      </c>
      <c r="G133" s="137">
        <v>1320</v>
      </c>
      <c r="H133" s="135">
        <v>8.6</v>
      </c>
      <c r="I133" s="136">
        <f t="shared" ref="I133:I138" si="22">D133/H133-1</f>
        <v>0</v>
      </c>
      <c r="J133" s="138">
        <v>9.4499999999999993</v>
      </c>
      <c r="K133" s="138">
        <v>9.5</v>
      </c>
      <c r="L133" s="138">
        <v>8.6</v>
      </c>
      <c r="M133" s="136">
        <f t="shared" ref="M133:M138" si="23">D133/J133-1</f>
        <v>-8.9947089947089887E-2</v>
      </c>
      <c r="N133" s="139" t="s">
        <v>20</v>
      </c>
      <c r="O133" s="139"/>
      <c r="P133" s="140"/>
      <c r="Q133" s="71"/>
      <c r="R133" s="92"/>
    </row>
    <row r="134" spans="1:21" x14ac:dyDescent="0.25">
      <c r="B134" s="88" t="s">
        <v>161</v>
      </c>
      <c r="C134" s="141" t="s">
        <v>162</v>
      </c>
      <c r="D134" s="142">
        <v>7.2</v>
      </c>
      <c r="E134" s="142">
        <v>7.2</v>
      </c>
      <c r="F134" s="143">
        <f t="shared" si="21"/>
        <v>0</v>
      </c>
      <c r="G134" s="144">
        <v>40</v>
      </c>
      <c r="H134" s="142">
        <v>7.2</v>
      </c>
      <c r="I134" s="143">
        <f t="shared" si="22"/>
        <v>0</v>
      </c>
      <c r="J134" s="145">
        <v>7.2</v>
      </c>
      <c r="K134" s="145">
        <v>7.2</v>
      </c>
      <c r="L134" s="145">
        <v>7.2</v>
      </c>
      <c r="M134" s="143">
        <f t="shared" si="23"/>
        <v>0</v>
      </c>
      <c r="N134" s="146" t="s">
        <v>20</v>
      </c>
      <c r="O134" s="146"/>
      <c r="P134" s="147"/>
      <c r="Q134" s="148"/>
      <c r="R134" s="99"/>
    </row>
    <row r="135" spans="1:21" x14ac:dyDescent="0.25">
      <c r="B135" s="88" t="s">
        <v>163</v>
      </c>
      <c r="C135" s="134" t="s">
        <v>164</v>
      </c>
      <c r="D135" s="135">
        <v>0.23</v>
      </c>
      <c r="E135" s="135">
        <v>0.22</v>
      </c>
      <c r="F135" s="136">
        <f t="shared" si="21"/>
        <v>4.5454545454545414E-2</v>
      </c>
      <c r="G135" s="137">
        <v>1292367</v>
      </c>
      <c r="H135" s="135">
        <v>0.23</v>
      </c>
      <c r="I135" s="136">
        <f t="shared" si="22"/>
        <v>0</v>
      </c>
      <c r="J135" s="138">
        <v>0.2</v>
      </c>
      <c r="K135" s="138">
        <v>0.25</v>
      </c>
      <c r="L135" s="138">
        <v>0.2</v>
      </c>
      <c r="M135" s="136">
        <f t="shared" si="23"/>
        <v>0.14999999999999991</v>
      </c>
      <c r="N135" s="139" t="s">
        <v>20</v>
      </c>
      <c r="O135" s="139"/>
      <c r="P135" s="140"/>
      <c r="Q135" s="71"/>
      <c r="R135" s="92"/>
    </row>
    <row r="136" spans="1:21" x14ac:dyDescent="0.25">
      <c r="A136" s="111"/>
      <c r="B136" s="88" t="s">
        <v>165</v>
      </c>
      <c r="C136" s="141" t="s">
        <v>166</v>
      </c>
      <c r="D136" s="142">
        <v>0.35</v>
      </c>
      <c r="E136" s="142">
        <v>0.35</v>
      </c>
      <c r="F136" s="143">
        <f t="shared" si="21"/>
        <v>0</v>
      </c>
      <c r="G136" s="144">
        <v>0</v>
      </c>
      <c r="H136" s="142">
        <v>0.35</v>
      </c>
      <c r="I136" s="143">
        <f t="shared" si="22"/>
        <v>0</v>
      </c>
      <c r="J136" s="145">
        <v>0.35</v>
      </c>
      <c r="K136" s="145">
        <v>0.35</v>
      </c>
      <c r="L136" s="145">
        <v>0.35</v>
      </c>
      <c r="M136" s="143">
        <f t="shared" si="23"/>
        <v>0</v>
      </c>
      <c r="N136" s="146" t="s">
        <v>40</v>
      </c>
      <c r="O136" s="146"/>
      <c r="P136" s="147"/>
      <c r="Q136" s="148"/>
      <c r="R136" s="99"/>
      <c r="S136" s="111"/>
      <c r="T136" s="111"/>
      <c r="U136" s="111"/>
    </row>
    <row r="137" spans="1:21" x14ac:dyDescent="0.25">
      <c r="A137" s="111"/>
      <c r="B137" s="112" t="s">
        <v>21</v>
      </c>
      <c r="C137" s="134" t="s">
        <v>208</v>
      </c>
      <c r="D137" s="135">
        <v>0.2</v>
      </c>
      <c r="E137" s="135">
        <v>0.2</v>
      </c>
      <c r="F137" s="136">
        <f t="shared" si="21"/>
        <v>0</v>
      </c>
      <c r="G137" s="137">
        <v>0</v>
      </c>
      <c r="H137" s="135">
        <v>0.2</v>
      </c>
      <c r="I137" s="136">
        <f t="shared" si="22"/>
        <v>0</v>
      </c>
      <c r="J137" s="138">
        <v>0.2</v>
      </c>
      <c r="K137" s="138">
        <v>0.2</v>
      </c>
      <c r="L137" s="138">
        <v>0.2</v>
      </c>
      <c r="M137" s="136">
        <f t="shared" si="23"/>
        <v>0</v>
      </c>
      <c r="N137" s="139" t="s">
        <v>20</v>
      </c>
      <c r="O137" s="139"/>
      <c r="P137" s="140"/>
      <c r="Q137" s="71"/>
      <c r="R137" s="92"/>
      <c r="S137" s="111"/>
      <c r="T137" s="111"/>
      <c r="U137" s="111"/>
    </row>
    <row r="138" spans="1:21" x14ac:dyDescent="0.25">
      <c r="B138" s="112"/>
      <c r="C138" s="141" t="s">
        <v>207</v>
      </c>
      <c r="D138" s="142">
        <v>2.91</v>
      </c>
      <c r="E138" s="142">
        <v>2.91</v>
      </c>
      <c r="F138" s="143">
        <f t="shared" si="21"/>
        <v>0</v>
      </c>
      <c r="G138" s="144">
        <v>0</v>
      </c>
      <c r="H138" s="142">
        <v>2.91</v>
      </c>
      <c r="I138" s="143">
        <f t="shared" si="22"/>
        <v>0</v>
      </c>
      <c r="J138" s="145">
        <v>2.91</v>
      </c>
      <c r="K138" s="145">
        <v>2.91</v>
      </c>
      <c r="L138" s="145">
        <v>2.91</v>
      </c>
      <c r="M138" s="143">
        <f t="shared" si="23"/>
        <v>0</v>
      </c>
      <c r="N138" s="146" t="s">
        <v>52</v>
      </c>
      <c r="O138" s="146"/>
      <c r="P138" s="147"/>
      <c r="Q138" s="148"/>
      <c r="R138" s="99"/>
    </row>
    <row r="139" spans="1:21" x14ac:dyDescent="0.25">
      <c r="B139" s="88" t="s">
        <v>21</v>
      </c>
      <c r="C139" s="134"/>
      <c r="D139" s="135"/>
      <c r="E139" s="135"/>
      <c r="F139" s="136"/>
      <c r="G139" s="137"/>
      <c r="H139" s="135"/>
      <c r="I139" s="136"/>
      <c r="J139" s="138"/>
      <c r="K139" s="138"/>
      <c r="L139" s="138"/>
      <c r="M139" s="136"/>
      <c r="N139" s="139"/>
      <c r="O139" s="139"/>
      <c r="P139" s="140"/>
      <c r="Q139" s="71"/>
      <c r="R139" s="92"/>
    </row>
    <row r="140" spans="1:21" x14ac:dyDescent="0.25">
      <c r="B140" s="152" t="s">
        <v>167</v>
      </c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53"/>
    </row>
    <row r="141" spans="1:21" x14ac:dyDescent="0.25">
      <c r="B141" s="88" t="s">
        <v>168</v>
      </c>
      <c r="C141" s="134" t="s">
        <v>169</v>
      </c>
      <c r="D141" s="135">
        <v>6.3</v>
      </c>
      <c r="E141" s="135">
        <v>5.95</v>
      </c>
      <c r="F141" s="136">
        <f t="shared" ref="F141:F148" si="24">D141/E141-1</f>
        <v>5.8823529411764719E-2</v>
      </c>
      <c r="G141" s="137">
        <v>10690741</v>
      </c>
      <c r="H141" s="135">
        <v>6.44</v>
      </c>
      <c r="I141" s="136">
        <f>D141/H141-1</f>
        <v>-2.1739130434782705E-2</v>
      </c>
      <c r="J141" s="138">
        <v>4.42</v>
      </c>
      <c r="K141" s="138">
        <v>6.44</v>
      </c>
      <c r="L141" s="138">
        <v>4.42</v>
      </c>
      <c r="M141" s="136">
        <f t="shared" ref="M141:M148" si="25">D141/J141-1</f>
        <v>0.42533936651583715</v>
      </c>
      <c r="N141" s="139" t="s">
        <v>20</v>
      </c>
      <c r="O141" s="139"/>
      <c r="P141" s="140"/>
      <c r="Q141" s="71"/>
      <c r="R141" s="92"/>
    </row>
    <row r="142" spans="1:21" x14ac:dyDescent="0.25">
      <c r="B142" s="88" t="s">
        <v>170</v>
      </c>
      <c r="C142" s="141" t="s">
        <v>225</v>
      </c>
      <c r="D142" s="142">
        <v>0.3</v>
      </c>
      <c r="E142" s="142">
        <v>0.3</v>
      </c>
      <c r="F142" s="143">
        <f t="shared" si="24"/>
        <v>0</v>
      </c>
      <c r="G142" s="144">
        <v>5431183</v>
      </c>
      <c r="H142" s="142">
        <v>0.32</v>
      </c>
      <c r="I142" s="143">
        <f t="shared" ref="I142:I148" si="26">D142/H142-1</f>
        <v>-6.25E-2</v>
      </c>
      <c r="J142" s="145">
        <v>0.4</v>
      </c>
      <c r="K142" s="145">
        <v>0.45</v>
      </c>
      <c r="L142" s="145">
        <v>0.3</v>
      </c>
      <c r="M142" s="143">
        <f t="shared" si="25"/>
        <v>-0.25000000000000011</v>
      </c>
      <c r="N142" s="146" t="s">
        <v>20</v>
      </c>
      <c r="O142" s="146"/>
      <c r="P142" s="147"/>
      <c r="Q142" s="148"/>
      <c r="R142" s="99"/>
    </row>
    <row r="143" spans="1:21" x14ac:dyDescent="0.25">
      <c r="B143" s="88" t="s">
        <v>171</v>
      </c>
      <c r="C143" s="134" t="s">
        <v>172</v>
      </c>
      <c r="D143" s="135">
        <v>1200</v>
      </c>
      <c r="E143" s="135">
        <v>1200</v>
      </c>
      <c r="F143" s="136">
        <f t="shared" si="24"/>
        <v>0</v>
      </c>
      <c r="G143" s="137">
        <v>291536</v>
      </c>
      <c r="H143" s="135">
        <v>1030</v>
      </c>
      <c r="I143" s="136">
        <f t="shared" si="26"/>
        <v>0.16504854368932032</v>
      </c>
      <c r="J143" s="138">
        <v>650</v>
      </c>
      <c r="K143" s="138">
        <v>1200</v>
      </c>
      <c r="L143" s="138">
        <v>650</v>
      </c>
      <c r="M143" s="136">
        <f t="shared" si="25"/>
        <v>0.84615384615384626</v>
      </c>
      <c r="N143" s="139" t="s">
        <v>20</v>
      </c>
      <c r="O143" s="139"/>
      <c r="P143" s="140"/>
      <c r="Q143" s="71"/>
      <c r="R143" s="92"/>
    </row>
    <row r="144" spans="1:21" x14ac:dyDescent="0.25">
      <c r="B144" s="88" t="s">
        <v>21</v>
      </c>
      <c r="C144" s="141" t="s">
        <v>173</v>
      </c>
      <c r="D144" s="142">
        <v>12.4</v>
      </c>
      <c r="E144" s="142">
        <v>12.4</v>
      </c>
      <c r="F144" s="143">
        <f t="shared" si="24"/>
        <v>0</v>
      </c>
      <c r="G144" s="144">
        <v>19648</v>
      </c>
      <c r="H144" s="142">
        <v>12.4</v>
      </c>
      <c r="I144" s="143">
        <f t="shared" si="26"/>
        <v>0</v>
      </c>
      <c r="J144" s="145">
        <v>12.35</v>
      </c>
      <c r="K144" s="145">
        <v>13.55</v>
      </c>
      <c r="L144" s="145">
        <v>12.2</v>
      </c>
      <c r="M144" s="143">
        <f t="shared" si="25"/>
        <v>4.0485829959515662E-3</v>
      </c>
      <c r="N144" s="146" t="s">
        <v>20</v>
      </c>
      <c r="O144" s="146"/>
      <c r="P144" s="147"/>
      <c r="Q144" s="148"/>
      <c r="R144" s="99"/>
    </row>
    <row r="145" spans="1:21" x14ac:dyDescent="0.25">
      <c r="B145" s="88" t="s">
        <v>21</v>
      </c>
      <c r="C145" s="134" t="s">
        <v>174</v>
      </c>
      <c r="D145" s="135">
        <v>26.2</v>
      </c>
      <c r="E145" s="135">
        <v>26.2</v>
      </c>
      <c r="F145" s="136">
        <f t="shared" si="24"/>
        <v>0</v>
      </c>
      <c r="G145" s="137">
        <v>174311</v>
      </c>
      <c r="H145" s="135">
        <v>26.2</v>
      </c>
      <c r="I145" s="136">
        <f>D145/H145-1</f>
        <v>0</v>
      </c>
      <c r="J145" s="138">
        <v>22</v>
      </c>
      <c r="K145" s="138">
        <v>26.5</v>
      </c>
      <c r="L145" s="138">
        <v>21.3</v>
      </c>
      <c r="M145" s="136">
        <f t="shared" si="25"/>
        <v>0.19090909090909092</v>
      </c>
      <c r="N145" s="139" t="s">
        <v>20</v>
      </c>
      <c r="O145" s="139"/>
      <c r="P145" s="140"/>
      <c r="Q145" s="71"/>
      <c r="R145" s="92"/>
    </row>
    <row r="146" spans="1:21" x14ac:dyDescent="0.25">
      <c r="B146" s="88" t="s">
        <v>21</v>
      </c>
      <c r="C146" s="141" t="s">
        <v>175</v>
      </c>
      <c r="D146" s="142">
        <v>6.02</v>
      </c>
      <c r="E146" s="142">
        <v>6.5</v>
      </c>
      <c r="F146" s="143">
        <f t="shared" si="24"/>
        <v>-7.3846153846153895E-2</v>
      </c>
      <c r="G146" s="144">
        <v>1464742</v>
      </c>
      <c r="H146" s="142">
        <v>7.31</v>
      </c>
      <c r="I146" s="143">
        <f t="shared" si="26"/>
        <v>-0.17647058823529416</v>
      </c>
      <c r="J146" s="145">
        <v>5.05</v>
      </c>
      <c r="K146" s="145">
        <v>7.31</v>
      </c>
      <c r="L146" s="145">
        <v>4.99</v>
      </c>
      <c r="M146" s="143">
        <f t="shared" si="25"/>
        <v>0.19207920792079203</v>
      </c>
      <c r="N146" s="146" t="s">
        <v>20</v>
      </c>
      <c r="O146" s="146"/>
      <c r="P146" s="147"/>
      <c r="Q146" s="148"/>
      <c r="R146" s="99"/>
    </row>
    <row r="147" spans="1:21" x14ac:dyDescent="0.25">
      <c r="B147" s="88" t="s">
        <v>21</v>
      </c>
      <c r="C147" s="134" t="s">
        <v>226</v>
      </c>
      <c r="D147" s="135">
        <v>13.7</v>
      </c>
      <c r="E147" s="135">
        <v>13.9</v>
      </c>
      <c r="F147" s="136">
        <f t="shared" si="24"/>
        <v>-1.4388489208633115E-2</v>
      </c>
      <c r="G147" s="137">
        <v>271594</v>
      </c>
      <c r="H147" s="135">
        <v>13.65</v>
      </c>
      <c r="I147" s="136">
        <f t="shared" si="26"/>
        <v>3.66300366300365E-3</v>
      </c>
      <c r="J147" s="138">
        <v>11.7</v>
      </c>
      <c r="K147" s="138">
        <v>13.9</v>
      </c>
      <c r="L147" s="138">
        <v>11.55</v>
      </c>
      <c r="M147" s="136">
        <f t="shared" si="25"/>
        <v>0.170940170940171</v>
      </c>
      <c r="N147" s="139" t="s">
        <v>20</v>
      </c>
      <c r="O147" s="139"/>
      <c r="P147" s="140"/>
      <c r="Q147" s="71"/>
      <c r="R147" s="92"/>
    </row>
    <row r="148" spans="1:21" x14ac:dyDescent="0.25">
      <c r="B148" s="88" t="s">
        <v>21</v>
      </c>
      <c r="C148" s="141" t="s">
        <v>252</v>
      </c>
      <c r="D148" s="142">
        <v>234.5</v>
      </c>
      <c r="E148" s="142">
        <v>234.5</v>
      </c>
      <c r="F148" s="143">
        <f t="shared" si="24"/>
        <v>0</v>
      </c>
      <c r="G148" s="144">
        <v>82088</v>
      </c>
      <c r="H148" s="142">
        <v>234.5</v>
      </c>
      <c r="I148" s="143">
        <f t="shared" si="26"/>
        <v>0</v>
      </c>
      <c r="J148" s="145">
        <f>221.9-18.2</f>
        <v>203.70000000000002</v>
      </c>
      <c r="K148" s="145">
        <v>264.89999999999998</v>
      </c>
      <c r="L148" s="145">
        <v>221.9</v>
      </c>
      <c r="M148" s="143">
        <f t="shared" si="25"/>
        <v>0.15120274914089338</v>
      </c>
      <c r="N148" s="146" t="s">
        <v>20</v>
      </c>
      <c r="O148" s="146" t="s">
        <v>257</v>
      </c>
      <c r="P148" s="167">
        <v>18.2</v>
      </c>
      <c r="Q148" s="148">
        <v>44676</v>
      </c>
      <c r="R148" s="99">
        <v>44729</v>
      </c>
    </row>
    <row r="149" spans="1:21" ht="11.25" customHeight="1" x14ac:dyDescent="0.25">
      <c r="B149" s="88" t="s">
        <v>21</v>
      </c>
      <c r="C149" s="134"/>
      <c r="D149" s="135"/>
      <c r="E149" s="135"/>
      <c r="F149" s="136"/>
      <c r="G149" s="137"/>
      <c r="H149" s="135"/>
      <c r="I149" s="136"/>
      <c r="J149" s="138"/>
      <c r="K149" s="138"/>
      <c r="L149" s="138"/>
      <c r="M149" s="136"/>
      <c r="N149" s="139"/>
      <c r="O149" s="139"/>
      <c r="P149" s="140"/>
      <c r="Q149" s="71"/>
      <c r="R149" s="92"/>
    </row>
    <row r="150" spans="1:21" ht="11.25" customHeight="1" x14ac:dyDescent="0.25">
      <c r="A150" s="111"/>
      <c r="B150" s="152" t="s">
        <v>176</v>
      </c>
      <c r="C150" s="149"/>
      <c r="D150" s="149" t="s">
        <v>223</v>
      </c>
      <c r="E150" s="149" t="s">
        <v>223</v>
      </c>
      <c r="F150" s="149"/>
      <c r="G150" s="149"/>
      <c r="H150" s="149" t="s">
        <v>223</v>
      </c>
      <c r="I150" s="149"/>
      <c r="J150" s="149" t="s">
        <v>223</v>
      </c>
      <c r="K150" s="149"/>
      <c r="L150" s="149"/>
      <c r="M150" s="149"/>
      <c r="N150" s="149"/>
      <c r="O150" s="149"/>
      <c r="P150" s="149"/>
      <c r="Q150" s="149"/>
      <c r="R150" s="153"/>
      <c r="S150" s="111"/>
      <c r="T150" s="111"/>
      <c r="U150" s="111"/>
    </row>
    <row r="151" spans="1:21" ht="11.25" customHeight="1" x14ac:dyDescent="0.25">
      <c r="A151" s="111"/>
      <c r="B151" s="112" t="s">
        <v>177</v>
      </c>
      <c r="C151" s="134" t="s">
        <v>178</v>
      </c>
      <c r="D151" s="135">
        <v>0.2</v>
      </c>
      <c r="E151" s="135">
        <v>0.2</v>
      </c>
      <c r="F151" s="136">
        <f t="shared" ref="F151:F170" si="27">D151/E151-1</f>
        <v>0</v>
      </c>
      <c r="G151" s="137">
        <v>0</v>
      </c>
      <c r="H151" s="135">
        <v>0.2</v>
      </c>
      <c r="I151" s="136">
        <f t="shared" ref="I151:I170" si="28">D151/H151-1</f>
        <v>0</v>
      </c>
      <c r="J151" s="138">
        <v>0.2</v>
      </c>
      <c r="K151" s="138">
        <v>0.2</v>
      </c>
      <c r="L151" s="138">
        <v>0.2</v>
      </c>
      <c r="M151" s="136">
        <f t="shared" ref="M151:M170" si="29">D151/J151-1</f>
        <v>0</v>
      </c>
      <c r="N151" s="139" t="s">
        <v>31</v>
      </c>
      <c r="O151" s="139"/>
      <c r="P151" s="140"/>
      <c r="Q151" s="71"/>
      <c r="R151" s="92"/>
      <c r="S151" s="111"/>
      <c r="T151" s="111"/>
      <c r="U151" s="111"/>
    </row>
    <row r="152" spans="1:21" x14ac:dyDescent="0.25">
      <c r="A152" s="111"/>
      <c r="B152" s="112" t="s">
        <v>179</v>
      </c>
      <c r="C152" s="141" t="s">
        <v>180</v>
      </c>
      <c r="D152" s="142">
        <v>1.62</v>
      </c>
      <c r="E152" s="142">
        <v>1.62</v>
      </c>
      <c r="F152" s="143">
        <f t="shared" si="27"/>
        <v>0</v>
      </c>
      <c r="G152" s="144">
        <v>0</v>
      </c>
      <c r="H152" s="142">
        <v>1.62</v>
      </c>
      <c r="I152" s="143">
        <f t="shared" si="28"/>
        <v>0</v>
      </c>
      <c r="J152" s="145">
        <v>1.62</v>
      </c>
      <c r="K152" s="145">
        <v>1.62</v>
      </c>
      <c r="L152" s="145">
        <v>1.62</v>
      </c>
      <c r="M152" s="143">
        <f t="shared" si="29"/>
        <v>0</v>
      </c>
      <c r="N152" s="146" t="s">
        <v>20</v>
      </c>
      <c r="O152" s="146"/>
      <c r="P152" s="147"/>
      <c r="Q152" s="148"/>
      <c r="R152" s="99"/>
      <c r="S152" s="111"/>
      <c r="T152" s="111"/>
      <c r="U152" s="111"/>
    </row>
    <row r="153" spans="1:21" x14ac:dyDescent="0.25">
      <c r="A153" s="111"/>
      <c r="B153" s="112" t="s">
        <v>21</v>
      </c>
      <c r="C153" s="134" t="s">
        <v>181</v>
      </c>
      <c r="D153" s="135">
        <v>5.95</v>
      </c>
      <c r="E153" s="135">
        <v>5.8</v>
      </c>
      <c r="F153" s="136">
        <f t="shared" si="27"/>
        <v>2.5862068965517349E-2</v>
      </c>
      <c r="G153" s="137">
        <v>3402752</v>
      </c>
      <c r="H153" s="135">
        <v>5.75</v>
      </c>
      <c r="I153" s="136">
        <f t="shared" si="28"/>
        <v>3.4782608695652195E-2</v>
      </c>
      <c r="J153" s="138">
        <v>3.6</v>
      </c>
      <c r="K153" s="138">
        <v>5.95</v>
      </c>
      <c r="L153" s="138">
        <v>3.6</v>
      </c>
      <c r="M153" s="136">
        <f t="shared" si="29"/>
        <v>0.65277777777777768</v>
      </c>
      <c r="N153" s="139" t="s">
        <v>20</v>
      </c>
      <c r="O153" s="139"/>
      <c r="P153" s="140"/>
      <c r="Q153" s="71"/>
      <c r="R153" s="92"/>
      <c r="S153" s="111"/>
      <c r="T153" s="111"/>
      <c r="U153" s="111"/>
    </row>
    <row r="154" spans="1:21" x14ac:dyDescent="0.25">
      <c r="A154" s="111"/>
      <c r="B154" s="112"/>
      <c r="C154" s="141" t="s">
        <v>182</v>
      </c>
      <c r="D154" s="142">
        <v>7</v>
      </c>
      <c r="E154" s="142">
        <v>7</v>
      </c>
      <c r="F154" s="143">
        <f t="shared" si="27"/>
        <v>0</v>
      </c>
      <c r="G154" s="144">
        <v>29281</v>
      </c>
      <c r="H154" s="142">
        <v>7</v>
      </c>
      <c r="I154" s="143">
        <f t="shared" si="28"/>
        <v>0</v>
      </c>
      <c r="J154" s="145">
        <v>5.3</v>
      </c>
      <c r="K154" s="145">
        <v>7</v>
      </c>
      <c r="L154" s="145">
        <v>5.3</v>
      </c>
      <c r="M154" s="143">
        <f t="shared" si="29"/>
        <v>0.32075471698113223</v>
      </c>
      <c r="N154" s="146" t="s">
        <v>20</v>
      </c>
      <c r="O154" s="146" t="s">
        <v>257</v>
      </c>
      <c r="P154" s="147">
        <v>16.5</v>
      </c>
      <c r="Q154" s="148">
        <v>44718</v>
      </c>
      <c r="R154" s="148">
        <v>44741</v>
      </c>
      <c r="S154" s="111"/>
      <c r="T154" s="111"/>
      <c r="U154" s="111"/>
    </row>
    <row r="155" spans="1:21" x14ac:dyDescent="0.25">
      <c r="A155" s="111"/>
      <c r="B155" s="112" t="s">
        <v>183</v>
      </c>
      <c r="C155" s="134" t="s">
        <v>184</v>
      </c>
      <c r="D155" s="135">
        <v>0.56000000000000005</v>
      </c>
      <c r="E155" s="135">
        <v>0.56000000000000005</v>
      </c>
      <c r="F155" s="136">
        <f t="shared" si="27"/>
        <v>0</v>
      </c>
      <c r="G155" s="137">
        <v>381550</v>
      </c>
      <c r="H155" s="135">
        <v>0.57999999999999996</v>
      </c>
      <c r="I155" s="136">
        <f t="shared" si="28"/>
        <v>-3.4482758620689502E-2</v>
      </c>
      <c r="J155" s="138">
        <v>0.2</v>
      </c>
      <c r="K155" s="138">
        <v>0.94</v>
      </c>
      <c r="L155" s="138">
        <v>0.2</v>
      </c>
      <c r="M155" s="136">
        <f t="shared" si="29"/>
        <v>1.8000000000000003</v>
      </c>
      <c r="N155" s="139" t="s">
        <v>20</v>
      </c>
      <c r="O155" s="139"/>
      <c r="P155" s="140"/>
      <c r="Q155" s="71"/>
      <c r="R155" s="92"/>
      <c r="S155" s="111"/>
      <c r="T155" s="111"/>
      <c r="U155" s="111"/>
    </row>
    <row r="156" spans="1:21" x14ac:dyDescent="0.25">
      <c r="A156" s="111"/>
      <c r="B156" s="112" t="s">
        <v>185</v>
      </c>
      <c r="C156" s="141" t="s">
        <v>186</v>
      </c>
      <c r="D156" s="142">
        <v>3.1</v>
      </c>
      <c r="E156" s="142">
        <v>3.1</v>
      </c>
      <c r="F156" s="143">
        <f t="shared" si="27"/>
        <v>0</v>
      </c>
      <c r="G156" s="144">
        <v>1429</v>
      </c>
      <c r="H156" s="142">
        <v>3.05</v>
      </c>
      <c r="I156" s="143">
        <f t="shared" si="28"/>
        <v>1.6393442622950838E-2</v>
      </c>
      <c r="J156" s="145">
        <v>3.45</v>
      </c>
      <c r="K156" s="145">
        <v>3.68</v>
      </c>
      <c r="L156" s="145">
        <v>2.7</v>
      </c>
      <c r="M156" s="143">
        <f t="shared" si="29"/>
        <v>-0.10144927536231885</v>
      </c>
      <c r="N156" s="146" t="s">
        <v>187</v>
      </c>
      <c r="O156" s="146"/>
      <c r="P156" s="147"/>
      <c r="Q156" s="148"/>
      <c r="R156" s="99"/>
      <c r="S156" s="111"/>
      <c r="T156" s="111"/>
      <c r="U156" s="111"/>
    </row>
    <row r="157" spans="1:21" x14ac:dyDescent="0.25">
      <c r="A157" s="111"/>
      <c r="B157" s="112" t="s">
        <v>21</v>
      </c>
      <c r="C157" s="134" t="s">
        <v>188</v>
      </c>
      <c r="D157" s="135">
        <v>0.81</v>
      </c>
      <c r="E157" s="135">
        <v>0.89</v>
      </c>
      <c r="F157" s="136">
        <f t="shared" si="27"/>
        <v>-8.98876404494382E-2</v>
      </c>
      <c r="G157" s="137">
        <v>732500</v>
      </c>
      <c r="H157" s="135">
        <v>0.81</v>
      </c>
      <c r="I157" s="136">
        <f t="shared" si="28"/>
        <v>0</v>
      </c>
      <c r="J157" s="138">
        <v>0.81</v>
      </c>
      <c r="K157" s="138">
        <v>0.89</v>
      </c>
      <c r="L157" s="138">
        <v>0.81</v>
      </c>
      <c r="M157" s="136">
        <f t="shared" si="29"/>
        <v>0</v>
      </c>
      <c r="N157" s="139" t="s">
        <v>20</v>
      </c>
      <c r="O157" s="139"/>
      <c r="P157" s="140"/>
      <c r="Q157" s="71"/>
      <c r="R157" s="92"/>
      <c r="S157" s="111"/>
      <c r="T157" s="111"/>
      <c r="U157" s="111"/>
    </row>
    <row r="158" spans="1:21" x14ac:dyDescent="0.25">
      <c r="A158" s="111"/>
      <c r="B158" s="112" t="s">
        <v>189</v>
      </c>
      <c r="C158" s="141" t="s">
        <v>190</v>
      </c>
      <c r="D158" s="142">
        <v>3.5</v>
      </c>
      <c r="E158" s="142">
        <v>3.5</v>
      </c>
      <c r="F158" s="143">
        <f t="shared" si="27"/>
        <v>0</v>
      </c>
      <c r="G158" s="144">
        <v>2664</v>
      </c>
      <c r="H158" s="142">
        <v>3.5</v>
      </c>
      <c r="I158" s="143">
        <f t="shared" si="28"/>
        <v>0</v>
      </c>
      <c r="J158" s="145">
        <v>4.2</v>
      </c>
      <c r="K158" s="145">
        <v>4.2</v>
      </c>
      <c r="L158" s="145">
        <v>3.5</v>
      </c>
      <c r="M158" s="143">
        <f t="shared" si="29"/>
        <v>-0.16666666666666674</v>
      </c>
      <c r="N158" s="146" t="s">
        <v>191</v>
      </c>
      <c r="O158" s="146"/>
      <c r="P158" s="147"/>
      <c r="Q158" s="148"/>
      <c r="R158" s="99"/>
      <c r="S158" s="111"/>
      <c r="T158" s="111"/>
      <c r="U158" s="111"/>
    </row>
    <row r="159" spans="1:21" x14ac:dyDescent="0.25">
      <c r="A159" s="111"/>
      <c r="B159" s="112" t="s">
        <v>192</v>
      </c>
      <c r="C159" s="134" t="s">
        <v>193</v>
      </c>
      <c r="D159" s="135">
        <v>0.2</v>
      </c>
      <c r="E159" s="135">
        <v>0.2</v>
      </c>
      <c r="F159" s="136">
        <f t="shared" si="27"/>
        <v>0</v>
      </c>
      <c r="G159" s="137">
        <v>26700</v>
      </c>
      <c r="H159" s="135">
        <v>0.2</v>
      </c>
      <c r="I159" s="136">
        <f t="shared" si="28"/>
        <v>0</v>
      </c>
      <c r="J159" s="138">
        <v>0.2</v>
      </c>
      <c r="K159" s="138">
        <v>0.2</v>
      </c>
      <c r="L159" s="138">
        <v>0.2</v>
      </c>
      <c r="M159" s="136">
        <f t="shared" si="29"/>
        <v>0</v>
      </c>
      <c r="N159" s="139" t="s">
        <v>20</v>
      </c>
      <c r="O159" s="139"/>
      <c r="P159" s="140"/>
      <c r="Q159" s="71"/>
      <c r="R159" s="92"/>
      <c r="S159" s="111"/>
      <c r="T159" s="111"/>
      <c r="U159" s="111"/>
    </row>
    <row r="160" spans="1:21" x14ac:dyDescent="0.25">
      <c r="A160" s="111"/>
      <c r="B160" s="112" t="s">
        <v>194</v>
      </c>
      <c r="C160" s="141" t="s">
        <v>195</v>
      </c>
      <c r="D160" s="142">
        <v>3.19</v>
      </c>
      <c r="E160" s="142">
        <v>3.19</v>
      </c>
      <c r="F160" s="143">
        <f t="shared" si="27"/>
        <v>0</v>
      </c>
      <c r="G160" s="144">
        <v>1000</v>
      </c>
      <c r="H160" s="142">
        <v>3.19</v>
      </c>
      <c r="I160" s="143">
        <f t="shared" si="28"/>
        <v>0</v>
      </c>
      <c r="J160" s="145">
        <v>3.19</v>
      </c>
      <c r="K160" s="145">
        <v>3.19</v>
      </c>
      <c r="L160" s="145">
        <v>3.19</v>
      </c>
      <c r="M160" s="143">
        <f t="shared" si="29"/>
        <v>0</v>
      </c>
      <c r="N160" s="146" t="s">
        <v>20</v>
      </c>
      <c r="O160" s="146"/>
      <c r="P160" s="147"/>
      <c r="Q160" s="148"/>
      <c r="R160" s="99"/>
      <c r="S160" s="111"/>
      <c r="T160" s="111"/>
      <c r="U160" s="111"/>
    </row>
    <row r="161" spans="1:21" x14ac:dyDescent="0.25">
      <c r="A161" s="111"/>
      <c r="B161" s="112" t="s">
        <v>21</v>
      </c>
      <c r="C161" s="134" t="s">
        <v>196</v>
      </c>
      <c r="D161" s="135">
        <v>1.4</v>
      </c>
      <c r="E161" s="135">
        <v>1.4</v>
      </c>
      <c r="F161" s="136">
        <f t="shared" si="27"/>
        <v>0</v>
      </c>
      <c r="G161" s="137">
        <v>137034</v>
      </c>
      <c r="H161" s="135">
        <v>1.55</v>
      </c>
      <c r="I161" s="136">
        <f t="shared" si="28"/>
        <v>-9.6774193548387233E-2</v>
      </c>
      <c r="J161" s="138">
        <v>1.22</v>
      </c>
      <c r="K161" s="138">
        <v>1.55</v>
      </c>
      <c r="L161" s="138">
        <v>1.19</v>
      </c>
      <c r="M161" s="136">
        <f t="shared" si="29"/>
        <v>0.14754098360655732</v>
      </c>
      <c r="N161" s="139" t="s">
        <v>20</v>
      </c>
      <c r="O161" s="139"/>
      <c r="P161" s="140"/>
      <c r="Q161" s="71"/>
      <c r="R161" s="92"/>
      <c r="S161" s="111"/>
      <c r="T161" s="111"/>
      <c r="U161" s="111"/>
    </row>
    <row r="162" spans="1:21" x14ac:dyDescent="0.25">
      <c r="A162" s="111"/>
      <c r="B162" s="112" t="s">
        <v>21</v>
      </c>
      <c r="C162" s="141" t="s">
        <v>197</v>
      </c>
      <c r="D162" s="142">
        <v>2.84</v>
      </c>
      <c r="E162" s="142">
        <v>2.84</v>
      </c>
      <c r="F162" s="143">
        <f t="shared" si="27"/>
        <v>0</v>
      </c>
      <c r="G162" s="144">
        <v>0</v>
      </c>
      <c r="H162" s="142">
        <v>2.84</v>
      </c>
      <c r="I162" s="143">
        <f t="shared" si="28"/>
        <v>0</v>
      </c>
      <c r="J162" s="145">
        <v>2.84</v>
      </c>
      <c r="K162" s="145">
        <v>2.84</v>
      </c>
      <c r="L162" s="145">
        <v>2.84</v>
      </c>
      <c r="M162" s="143">
        <f t="shared" si="29"/>
        <v>0</v>
      </c>
      <c r="N162" s="146" t="s">
        <v>20</v>
      </c>
      <c r="O162" s="146"/>
      <c r="P162" s="147"/>
      <c r="Q162" s="148"/>
      <c r="R162" s="99"/>
      <c r="S162" s="111"/>
      <c r="T162" s="111"/>
      <c r="U162" s="111"/>
    </row>
    <row r="163" spans="1:21" x14ac:dyDescent="0.25">
      <c r="A163" s="111"/>
      <c r="B163" s="112"/>
      <c r="C163" s="134" t="s">
        <v>198</v>
      </c>
      <c r="D163" s="135">
        <v>4.95</v>
      </c>
      <c r="E163" s="135">
        <v>4.95</v>
      </c>
      <c r="F163" s="136">
        <f t="shared" si="27"/>
        <v>0</v>
      </c>
      <c r="G163" s="137">
        <v>1629</v>
      </c>
      <c r="H163" s="135">
        <v>4.95</v>
      </c>
      <c r="I163" s="136">
        <f t="shared" si="28"/>
        <v>0</v>
      </c>
      <c r="J163" s="138">
        <f>5.38-0.07</f>
        <v>5.31</v>
      </c>
      <c r="K163" s="138">
        <v>5.38</v>
      </c>
      <c r="L163" s="138">
        <v>4.95</v>
      </c>
      <c r="M163" s="136">
        <f t="shared" si="29"/>
        <v>-6.7796610169491456E-2</v>
      </c>
      <c r="N163" s="139" t="s">
        <v>20</v>
      </c>
      <c r="O163" s="139" t="s">
        <v>257</v>
      </c>
      <c r="P163" s="140">
        <v>7.0000000000000007E-2</v>
      </c>
      <c r="Q163" s="71">
        <v>44279</v>
      </c>
      <c r="R163" s="92" t="s">
        <v>269</v>
      </c>
      <c r="S163" s="111"/>
      <c r="T163" s="111"/>
      <c r="U163" s="111"/>
    </row>
    <row r="164" spans="1:21" x14ac:dyDescent="0.25">
      <c r="A164" s="111"/>
      <c r="B164" s="112" t="s">
        <v>199</v>
      </c>
      <c r="C164" s="141" t="s">
        <v>200</v>
      </c>
      <c r="D164" s="142">
        <v>0.2</v>
      </c>
      <c r="E164" s="142">
        <v>0.2</v>
      </c>
      <c r="F164" s="143">
        <f t="shared" si="27"/>
        <v>0</v>
      </c>
      <c r="G164" s="144">
        <v>0</v>
      </c>
      <c r="H164" s="142">
        <v>0.2</v>
      </c>
      <c r="I164" s="143">
        <f t="shared" si="28"/>
        <v>0</v>
      </c>
      <c r="J164" s="145">
        <v>0.2</v>
      </c>
      <c r="K164" s="145">
        <v>0.2</v>
      </c>
      <c r="L164" s="145">
        <v>0.2</v>
      </c>
      <c r="M164" s="143">
        <f t="shared" si="29"/>
        <v>0</v>
      </c>
      <c r="N164" s="146" t="s">
        <v>20</v>
      </c>
      <c r="O164" s="146"/>
      <c r="P164" s="147"/>
      <c r="Q164" s="148"/>
      <c r="R164" s="99"/>
      <c r="S164" s="111"/>
      <c r="T164" s="111"/>
      <c r="U164" s="111"/>
    </row>
    <row r="165" spans="1:21" x14ac:dyDescent="0.25">
      <c r="A165" s="111"/>
      <c r="B165" s="112" t="s">
        <v>201</v>
      </c>
      <c r="C165" s="134" t="s">
        <v>202</v>
      </c>
      <c r="D165" s="135">
        <v>1.47</v>
      </c>
      <c r="E165" s="135">
        <v>1.34</v>
      </c>
      <c r="F165" s="136">
        <f t="shared" si="27"/>
        <v>9.7014925373134275E-2</v>
      </c>
      <c r="G165" s="137">
        <v>1699931</v>
      </c>
      <c r="H165" s="135">
        <v>1.1000000000000001</v>
      </c>
      <c r="I165" s="136">
        <f t="shared" si="28"/>
        <v>0.3363636363636362</v>
      </c>
      <c r="J165" s="138">
        <v>0.55000000000000004</v>
      </c>
      <c r="K165" s="138">
        <v>2</v>
      </c>
      <c r="L165" s="138">
        <v>0.5</v>
      </c>
      <c r="M165" s="136">
        <f t="shared" si="29"/>
        <v>1.6727272727272724</v>
      </c>
      <c r="N165" s="139" t="s">
        <v>40</v>
      </c>
      <c r="O165" s="139"/>
      <c r="P165" s="140"/>
      <c r="Q165" s="71"/>
      <c r="R165" s="92"/>
      <c r="S165" s="111"/>
      <c r="T165" s="111"/>
      <c r="U165" s="111"/>
    </row>
    <row r="166" spans="1:21" x14ac:dyDescent="0.25">
      <c r="A166" s="111"/>
      <c r="B166" s="112" t="s">
        <v>21</v>
      </c>
      <c r="C166" s="141" t="s">
        <v>203</v>
      </c>
      <c r="D166" s="142">
        <v>1.95</v>
      </c>
      <c r="E166" s="142">
        <v>1.95</v>
      </c>
      <c r="F166" s="143">
        <f t="shared" si="27"/>
        <v>0</v>
      </c>
      <c r="G166" s="144">
        <v>59057</v>
      </c>
      <c r="H166" s="142">
        <v>1.95</v>
      </c>
      <c r="I166" s="143">
        <f t="shared" si="28"/>
        <v>0</v>
      </c>
      <c r="J166" s="145">
        <v>1.17</v>
      </c>
      <c r="K166" s="145">
        <v>2.66</v>
      </c>
      <c r="L166" s="145">
        <v>1.17</v>
      </c>
      <c r="M166" s="143">
        <f t="shared" si="29"/>
        <v>0.66666666666666674</v>
      </c>
      <c r="N166" s="146" t="s">
        <v>20</v>
      </c>
      <c r="O166" s="146"/>
      <c r="P166" s="147"/>
      <c r="Q166" s="148"/>
      <c r="R166" s="99"/>
      <c r="S166" s="111"/>
      <c r="T166" s="111"/>
      <c r="U166" s="111"/>
    </row>
    <row r="167" spans="1:21" x14ac:dyDescent="0.25">
      <c r="A167" s="111"/>
      <c r="B167" s="112" t="s">
        <v>21</v>
      </c>
      <c r="C167" s="134" t="s">
        <v>204</v>
      </c>
      <c r="D167" s="135">
        <v>2.4500000000000002</v>
      </c>
      <c r="E167" s="135">
        <v>2.4500000000000002</v>
      </c>
      <c r="F167" s="136">
        <f t="shared" si="27"/>
        <v>0</v>
      </c>
      <c r="G167" s="137">
        <v>80402</v>
      </c>
      <c r="H167" s="135">
        <v>2.4500000000000002</v>
      </c>
      <c r="I167" s="136">
        <f t="shared" si="28"/>
        <v>0</v>
      </c>
      <c r="J167" s="138">
        <v>2.94</v>
      </c>
      <c r="K167" s="138">
        <v>2.94</v>
      </c>
      <c r="L167" s="138">
        <v>2.4</v>
      </c>
      <c r="M167" s="136">
        <f t="shared" si="29"/>
        <v>-0.16666666666666663</v>
      </c>
      <c r="N167" s="139" t="s">
        <v>40</v>
      </c>
      <c r="O167" s="139"/>
      <c r="P167" s="140"/>
      <c r="Q167" s="71"/>
      <c r="R167" s="92"/>
      <c r="S167" s="111"/>
      <c r="T167" s="111"/>
      <c r="U167" s="111"/>
    </row>
    <row r="168" spans="1:21" x14ac:dyDescent="0.25">
      <c r="A168" s="111"/>
      <c r="B168" s="112" t="s">
        <v>205</v>
      </c>
      <c r="C168" s="141" t="s">
        <v>206</v>
      </c>
      <c r="D168" s="142">
        <v>0.31</v>
      </c>
      <c r="E168" s="142">
        <v>0.31</v>
      </c>
      <c r="F168" s="143">
        <f t="shared" si="27"/>
        <v>0</v>
      </c>
      <c r="G168" s="144">
        <v>10000</v>
      </c>
      <c r="H168" s="142">
        <v>0.31</v>
      </c>
      <c r="I168" s="143">
        <f t="shared" si="28"/>
        <v>0</v>
      </c>
      <c r="J168" s="145">
        <v>0.31</v>
      </c>
      <c r="K168" s="145">
        <v>0.36</v>
      </c>
      <c r="L168" s="145">
        <v>0.28999999999999998</v>
      </c>
      <c r="M168" s="143">
        <f t="shared" si="29"/>
        <v>0</v>
      </c>
      <c r="N168" s="146" t="s">
        <v>20</v>
      </c>
      <c r="O168" s="146"/>
      <c r="P168" s="147"/>
      <c r="Q168" s="148"/>
      <c r="R168" s="99"/>
      <c r="S168" s="111"/>
      <c r="T168" s="111"/>
      <c r="U168" s="111"/>
    </row>
    <row r="169" spans="1:21" x14ac:dyDescent="0.25">
      <c r="A169" s="111"/>
      <c r="B169" s="112" t="s">
        <v>209</v>
      </c>
      <c r="C169" s="134" t="s">
        <v>210</v>
      </c>
      <c r="D169" s="135">
        <v>1.2</v>
      </c>
      <c r="E169" s="135">
        <v>1.2</v>
      </c>
      <c r="F169" s="136">
        <f t="shared" si="27"/>
        <v>0</v>
      </c>
      <c r="G169" s="137">
        <v>171906</v>
      </c>
      <c r="H169" s="135">
        <v>1.18</v>
      </c>
      <c r="I169" s="136">
        <f t="shared" si="28"/>
        <v>1.6949152542372836E-2</v>
      </c>
      <c r="J169" s="138">
        <v>1.6</v>
      </c>
      <c r="K169" s="138">
        <v>1.79</v>
      </c>
      <c r="L169" s="138">
        <v>1.1399999999999999</v>
      </c>
      <c r="M169" s="136">
        <f t="shared" si="29"/>
        <v>-0.25000000000000011</v>
      </c>
      <c r="N169" s="139" t="s">
        <v>20</v>
      </c>
      <c r="O169" s="139"/>
      <c r="P169" s="140"/>
      <c r="Q169" s="71"/>
      <c r="R169" s="92"/>
      <c r="S169" s="111"/>
      <c r="T169" s="111"/>
      <c r="U169" s="111"/>
    </row>
    <row r="170" spans="1:21" x14ac:dyDescent="0.25">
      <c r="B170" s="113"/>
      <c r="C170" s="154" t="s">
        <v>211</v>
      </c>
      <c r="D170" s="155">
        <v>3.78</v>
      </c>
      <c r="E170" s="155">
        <v>3.78</v>
      </c>
      <c r="F170" s="156">
        <f t="shared" si="27"/>
        <v>0</v>
      </c>
      <c r="G170" s="157">
        <v>27200</v>
      </c>
      <c r="H170" s="155">
        <v>3.78</v>
      </c>
      <c r="I170" s="156">
        <f t="shared" si="28"/>
        <v>0</v>
      </c>
      <c r="J170" s="158">
        <v>4.1900000000000004</v>
      </c>
      <c r="K170" s="158">
        <v>4.1900000000000004</v>
      </c>
      <c r="L170" s="158">
        <v>3.78</v>
      </c>
      <c r="M170" s="156">
        <f t="shared" si="29"/>
        <v>-9.7852028639618283E-2</v>
      </c>
      <c r="N170" s="159" t="s">
        <v>20</v>
      </c>
      <c r="O170" s="159"/>
      <c r="P170" s="160"/>
      <c r="Q170" s="161"/>
      <c r="R170" s="162"/>
    </row>
    <row r="171" spans="1:21" x14ac:dyDescent="0.25">
      <c r="P171" s="91"/>
    </row>
    <row r="172" spans="1:21" x14ac:dyDescent="0.25">
      <c r="P172" s="91"/>
    </row>
    <row r="173" spans="1:21" x14ac:dyDescent="0.25">
      <c r="P173" s="91"/>
    </row>
    <row r="174" spans="1:21" x14ac:dyDescent="0.25">
      <c r="P174" s="91"/>
    </row>
    <row r="175" spans="1:21" x14ac:dyDescent="0.25">
      <c r="P175" s="91"/>
    </row>
    <row r="176" spans="1:21" x14ac:dyDescent="0.25">
      <c r="P176" s="91"/>
    </row>
    <row r="177" spans="16:16" x14ac:dyDescent="0.25">
      <c r="P177" s="91"/>
    </row>
    <row r="178" spans="16:16" x14ac:dyDescent="0.25">
      <c r="P178" s="91"/>
    </row>
    <row r="179" spans="16:16" x14ac:dyDescent="0.25">
      <c r="P179" s="91"/>
    </row>
    <row r="180" spans="16:16" x14ac:dyDescent="0.25">
      <c r="P180" s="91"/>
    </row>
    <row r="181" spans="16:16" x14ac:dyDescent="0.25">
      <c r="P181" s="91"/>
    </row>
    <row r="182" spans="16:16" x14ac:dyDescent="0.25">
      <c r="P182" s="91"/>
    </row>
    <row r="183" spans="16:16" x14ac:dyDescent="0.25">
      <c r="P183" s="91"/>
    </row>
  </sheetData>
  <conditionalFormatting sqref="F25:F29 F5:F1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F25:F29 F5:F1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F30:F3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F5:F31 F151:F152">
    <cfRule type="cellIs" dxfId="5" priority="371" operator="greaterThan">
      <formula>0.1</formula>
    </cfRule>
  </conditionalFormatting>
  <conditionalFormatting sqref="F12">
    <cfRule type="iconSet" priority="370">
      <iconSet iconSet="3Arrows">
        <cfvo type="percent" val="0"/>
        <cfvo type="percent" val="33"/>
        <cfvo type="percent" val="67"/>
      </iconSet>
    </cfRule>
  </conditionalFormatting>
  <conditionalFormatting sqref="F25:F29 F16:F17 F5:F14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I25:I29 I5:I17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I25:I29 I5:I17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I30:I31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5">
      <iconSet iconSet="3Arrows">
        <cfvo type="percent" val="0"/>
        <cfvo type="percent" val="33"/>
        <cfvo type="percent" val="67"/>
      </iconSet>
    </cfRule>
  </conditionalFormatting>
  <conditionalFormatting sqref="I25:I29 I16:I17 I5:I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M25:M29 M5:M1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M25:M29 M5:M1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M15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M30:M31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M25:M29 M16:M17 M5:M1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F110:F11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F32 F50:F99 F110:F119 F121:F131 F133:F139 F141:F149 F34:F48">
    <cfRule type="cellIs" dxfId="4" priority="58" operator="greaterThan">
      <formula>0.1</formula>
    </cfRule>
  </conditionalFormatting>
  <conditionalFormatting sqref="F110:F119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M3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F33">
    <cfRule type="cellIs" dxfId="3" priority="49" operator="greaterThan">
      <formula>0.1</formula>
    </cfRule>
  </conditionalFormatting>
  <conditionalFormatting sqref="U105:U10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5:U10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U105:U106">
    <cfRule type="cellIs" dxfId="2" priority="16" operator="greaterThan">
      <formula>0.1</formula>
    </cfRule>
  </conditionalFormatting>
  <conditionalFormatting sqref="X105:X10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X105:X10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01:F108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01:F108">
    <cfRule type="cellIs" dxfId="1" priority="7" operator="greaterThan">
      <formula>0.1</formula>
    </cfRule>
  </conditionalFormatting>
  <conditionalFormatting sqref="I101:I108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101:M108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10:F119 F32 F50:F99 F121:F131 F133:F139 F141:F149 F151:F152 F34:F48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I110:I119 I32:I48 I50:I99 I121:I131 I133:I139 I141:I149 I151:I152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M110:M119 M50:M99 M121:M131 M133:M139 M141:M149 M151:M152 M32 M34:M48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F153:F170">
    <cfRule type="cellIs" dxfId="0" priority="1" operator="greaterThan">
      <formula>0.1</formula>
    </cfRule>
  </conditionalFormatting>
  <conditionalFormatting sqref="F153:F17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53:I17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M153:M170">
    <cfRule type="iconSet" priority="4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70"/>
  <sheetViews>
    <sheetView showGridLines="0" zoomScaleNormal="100" workbookViewId="0">
      <selection activeCell="JA230" sqref="JA230"/>
    </sheetView>
  </sheetViews>
  <sheetFormatPr defaultColWidth="0" defaultRowHeight="13.2" x14ac:dyDescent="0.25"/>
  <cols>
    <col min="1" max="1" width="28.109375" style="3" customWidth="1"/>
    <col min="2" max="2" width="3.6640625" style="6" customWidth="1"/>
    <col min="3" max="3" width="23.109375" style="6" bestFit="1" customWidth="1"/>
    <col min="4" max="4" width="11.109375" style="6" customWidth="1"/>
    <col min="5" max="5" width="9.88671875" style="6" customWidth="1"/>
    <col min="6" max="6" width="11.33203125" style="6" customWidth="1"/>
    <col min="7" max="7" width="17.33203125" style="6" bestFit="1" customWidth="1"/>
    <col min="8" max="8" width="13.88671875" style="19" customWidth="1"/>
    <col min="9" max="9" width="20.6640625" style="6" customWidth="1"/>
    <col min="10" max="11" width="9.109375" style="6" customWidth="1"/>
    <col min="12" max="254" width="9.109375" style="6" hidden="1"/>
    <col min="255" max="255" width="28.109375" style="6" customWidth="1"/>
    <col min="256" max="256" width="3.6640625" style="6" customWidth="1"/>
    <col min="257" max="257" width="31.109375" style="6" customWidth="1"/>
    <col min="258" max="258" width="11.109375" style="6" customWidth="1"/>
    <col min="259" max="259" width="9.88671875" style="6" customWidth="1"/>
    <col min="260" max="260" width="11.33203125" style="6" customWidth="1"/>
    <col min="261" max="261" width="3.109375" style="6" customWidth="1"/>
    <col min="262" max="262" width="17.33203125" style="6" bestFit="1" customWidth="1"/>
    <col min="263" max="263" width="11.33203125" style="6" customWidth="1"/>
    <col min="264" max="264" width="22.6640625" style="6" bestFit="1" customWidth="1"/>
    <col min="265" max="265" width="9.5546875" style="6" bestFit="1" customWidth="1"/>
    <col min="266" max="267" width="9.109375" style="6" customWidth="1"/>
    <col min="268" max="510" width="9.109375" style="6" hidden="1"/>
    <col min="511" max="511" width="28.109375" style="6" customWidth="1"/>
    <col min="512" max="512" width="3.6640625" style="6" customWidth="1"/>
    <col min="513" max="513" width="31.109375" style="6" customWidth="1"/>
    <col min="514" max="514" width="11.109375" style="6" customWidth="1"/>
    <col min="515" max="515" width="9.88671875" style="6" customWidth="1"/>
    <col min="516" max="516" width="11.33203125" style="6" customWidth="1"/>
    <col min="517" max="517" width="3.109375" style="6" customWidth="1"/>
    <col min="518" max="518" width="17.33203125" style="6" bestFit="1" customWidth="1"/>
    <col min="519" max="519" width="11.33203125" style="6" customWidth="1"/>
    <col min="520" max="520" width="22.6640625" style="6" bestFit="1" customWidth="1"/>
    <col min="521" max="521" width="9.5546875" style="6" bestFit="1" customWidth="1"/>
    <col min="522" max="523" width="9.109375" style="6" customWidth="1"/>
    <col min="524" max="766" width="9.109375" style="6" hidden="1"/>
    <col min="767" max="767" width="28.109375" style="6" customWidth="1"/>
    <col min="768" max="768" width="3.6640625" style="6" customWidth="1"/>
    <col min="769" max="769" width="31.109375" style="6" customWidth="1"/>
    <col min="770" max="770" width="11.109375" style="6" customWidth="1"/>
    <col min="771" max="771" width="9.88671875" style="6" customWidth="1"/>
    <col min="772" max="772" width="11.33203125" style="6" customWidth="1"/>
    <col min="773" max="773" width="3.109375" style="6" customWidth="1"/>
    <col min="774" max="774" width="17.33203125" style="6" bestFit="1" customWidth="1"/>
    <col min="775" max="775" width="11.33203125" style="6" customWidth="1"/>
    <col min="776" max="776" width="22.6640625" style="6" bestFit="1" customWidth="1"/>
    <col min="777" max="777" width="9.5546875" style="6" bestFit="1" customWidth="1"/>
    <col min="778" max="779" width="9.109375" style="6" customWidth="1"/>
    <col min="780" max="1022" width="9.109375" style="6" hidden="1"/>
    <col min="1023" max="1023" width="28.109375" style="6" customWidth="1"/>
    <col min="1024" max="1024" width="3.6640625" style="6" customWidth="1"/>
    <col min="1025" max="1025" width="31.109375" style="6" customWidth="1"/>
    <col min="1026" max="1026" width="11.109375" style="6" customWidth="1"/>
    <col min="1027" max="1027" width="9.88671875" style="6" customWidth="1"/>
    <col min="1028" max="1028" width="11.33203125" style="6" customWidth="1"/>
    <col min="1029" max="1029" width="3.109375" style="6" customWidth="1"/>
    <col min="1030" max="1030" width="17.33203125" style="6" bestFit="1" customWidth="1"/>
    <col min="1031" max="1031" width="11.33203125" style="6" customWidth="1"/>
    <col min="1032" max="1032" width="22.6640625" style="6" bestFit="1" customWidth="1"/>
    <col min="1033" max="1033" width="9.5546875" style="6" bestFit="1" customWidth="1"/>
    <col min="1034" max="1035" width="9.109375" style="6" customWidth="1"/>
    <col min="1036" max="1278" width="9.109375" style="6" hidden="1"/>
    <col min="1279" max="1279" width="28.109375" style="6" customWidth="1"/>
    <col min="1280" max="1280" width="3.6640625" style="6" customWidth="1"/>
    <col min="1281" max="1281" width="31.109375" style="6" customWidth="1"/>
    <col min="1282" max="1282" width="11.109375" style="6" customWidth="1"/>
    <col min="1283" max="1283" width="9.88671875" style="6" customWidth="1"/>
    <col min="1284" max="1284" width="11.33203125" style="6" customWidth="1"/>
    <col min="1285" max="1285" width="3.109375" style="6" customWidth="1"/>
    <col min="1286" max="1286" width="17.33203125" style="6" bestFit="1" customWidth="1"/>
    <col min="1287" max="1287" width="11.33203125" style="6" customWidth="1"/>
    <col min="1288" max="1288" width="22.6640625" style="6" bestFit="1" customWidth="1"/>
    <col min="1289" max="1289" width="9.5546875" style="6" bestFit="1" customWidth="1"/>
    <col min="1290" max="1291" width="9.109375" style="6" customWidth="1"/>
    <col min="1292" max="1534" width="9.109375" style="6" hidden="1"/>
    <col min="1535" max="1535" width="28.109375" style="6" customWidth="1"/>
    <col min="1536" max="1536" width="3.6640625" style="6" customWidth="1"/>
    <col min="1537" max="1537" width="31.109375" style="6" customWidth="1"/>
    <col min="1538" max="1538" width="11.109375" style="6" customWidth="1"/>
    <col min="1539" max="1539" width="9.88671875" style="6" customWidth="1"/>
    <col min="1540" max="1540" width="11.33203125" style="6" customWidth="1"/>
    <col min="1541" max="1541" width="3.109375" style="6" customWidth="1"/>
    <col min="1542" max="1542" width="17.33203125" style="6" bestFit="1" customWidth="1"/>
    <col min="1543" max="1543" width="11.33203125" style="6" customWidth="1"/>
    <col min="1544" max="1544" width="22.6640625" style="6" bestFit="1" customWidth="1"/>
    <col min="1545" max="1545" width="9.5546875" style="6" bestFit="1" customWidth="1"/>
    <col min="1546" max="1547" width="9.109375" style="6" customWidth="1"/>
    <col min="1548" max="1790" width="9.109375" style="6" hidden="1"/>
    <col min="1791" max="1791" width="28.109375" style="6" customWidth="1"/>
    <col min="1792" max="1792" width="3.6640625" style="6" customWidth="1"/>
    <col min="1793" max="1793" width="31.109375" style="6" customWidth="1"/>
    <col min="1794" max="1794" width="11.109375" style="6" customWidth="1"/>
    <col min="1795" max="1795" width="9.88671875" style="6" customWidth="1"/>
    <col min="1796" max="1796" width="11.33203125" style="6" customWidth="1"/>
    <col min="1797" max="1797" width="3.109375" style="6" customWidth="1"/>
    <col min="1798" max="1798" width="17.33203125" style="6" bestFit="1" customWidth="1"/>
    <col min="1799" max="1799" width="11.33203125" style="6" customWidth="1"/>
    <col min="1800" max="1800" width="22.6640625" style="6" bestFit="1" customWidth="1"/>
    <col min="1801" max="1801" width="9.5546875" style="6" bestFit="1" customWidth="1"/>
    <col min="1802" max="1803" width="9.109375" style="6" customWidth="1"/>
    <col min="1804" max="2046" width="9.109375" style="6" hidden="1"/>
    <col min="2047" max="2047" width="28.109375" style="6" customWidth="1"/>
    <col min="2048" max="2048" width="3.6640625" style="6" customWidth="1"/>
    <col min="2049" max="2049" width="31.109375" style="6" customWidth="1"/>
    <col min="2050" max="2050" width="11.109375" style="6" customWidth="1"/>
    <col min="2051" max="2051" width="9.88671875" style="6" customWidth="1"/>
    <col min="2052" max="2052" width="11.33203125" style="6" customWidth="1"/>
    <col min="2053" max="2053" width="3.109375" style="6" customWidth="1"/>
    <col min="2054" max="2054" width="17.33203125" style="6" bestFit="1" customWidth="1"/>
    <col min="2055" max="2055" width="11.33203125" style="6" customWidth="1"/>
    <col min="2056" max="2056" width="22.6640625" style="6" bestFit="1" customWidth="1"/>
    <col min="2057" max="2057" width="9.5546875" style="6" bestFit="1" customWidth="1"/>
    <col min="2058" max="2059" width="9.109375" style="6" customWidth="1"/>
    <col min="2060" max="2302" width="9.109375" style="6" hidden="1"/>
    <col min="2303" max="2303" width="28.109375" style="6" customWidth="1"/>
    <col min="2304" max="2304" width="3.6640625" style="6" customWidth="1"/>
    <col min="2305" max="2305" width="31.109375" style="6" customWidth="1"/>
    <col min="2306" max="2306" width="11.109375" style="6" customWidth="1"/>
    <col min="2307" max="2307" width="9.88671875" style="6" customWidth="1"/>
    <col min="2308" max="2308" width="11.33203125" style="6" customWidth="1"/>
    <col min="2309" max="2309" width="3.109375" style="6" customWidth="1"/>
    <col min="2310" max="2310" width="17.33203125" style="6" bestFit="1" customWidth="1"/>
    <col min="2311" max="2311" width="11.33203125" style="6" customWidth="1"/>
    <col min="2312" max="2312" width="22.6640625" style="6" bestFit="1" customWidth="1"/>
    <col min="2313" max="2313" width="9.5546875" style="6" bestFit="1" customWidth="1"/>
    <col min="2314" max="2315" width="9.109375" style="6" customWidth="1"/>
    <col min="2316" max="2558" width="9.109375" style="6" hidden="1"/>
    <col min="2559" max="2559" width="28.109375" style="6" customWidth="1"/>
    <col min="2560" max="2560" width="3.6640625" style="6" customWidth="1"/>
    <col min="2561" max="2561" width="31.109375" style="6" customWidth="1"/>
    <col min="2562" max="2562" width="11.109375" style="6" customWidth="1"/>
    <col min="2563" max="2563" width="9.88671875" style="6" customWidth="1"/>
    <col min="2564" max="2564" width="11.33203125" style="6" customWidth="1"/>
    <col min="2565" max="2565" width="3.109375" style="6" customWidth="1"/>
    <col min="2566" max="2566" width="17.33203125" style="6" bestFit="1" customWidth="1"/>
    <col min="2567" max="2567" width="11.33203125" style="6" customWidth="1"/>
    <col min="2568" max="2568" width="22.6640625" style="6" bestFit="1" customWidth="1"/>
    <col min="2569" max="2569" width="9.5546875" style="6" bestFit="1" customWidth="1"/>
    <col min="2570" max="2571" width="9.109375" style="6" customWidth="1"/>
    <col min="2572" max="2814" width="9.109375" style="6" hidden="1"/>
    <col min="2815" max="2815" width="28.109375" style="6" customWidth="1"/>
    <col min="2816" max="2816" width="3.6640625" style="6" customWidth="1"/>
    <col min="2817" max="2817" width="31.109375" style="6" customWidth="1"/>
    <col min="2818" max="2818" width="11.109375" style="6" customWidth="1"/>
    <col min="2819" max="2819" width="9.88671875" style="6" customWidth="1"/>
    <col min="2820" max="2820" width="11.33203125" style="6" customWidth="1"/>
    <col min="2821" max="2821" width="3.109375" style="6" customWidth="1"/>
    <col min="2822" max="2822" width="17.33203125" style="6" bestFit="1" customWidth="1"/>
    <col min="2823" max="2823" width="11.33203125" style="6" customWidth="1"/>
    <col min="2824" max="2824" width="22.6640625" style="6" bestFit="1" customWidth="1"/>
    <col min="2825" max="2825" width="9.5546875" style="6" bestFit="1" customWidth="1"/>
    <col min="2826" max="2827" width="9.109375" style="6" customWidth="1"/>
    <col min="2828" max="3070" width="9.109375" style="6" hidden="1"/>
    <col min="3071" max="3071" width="28.109375" style="6" customWidth="1"/>
    <col min="3072" max="3072" width="3.6640625" style="6" customWidth="1"/>
    <col min="3073" max="3073" width="31.109375" style="6" customWidth="1"/>
    <col min="3074" max="3074" width="11.109375" style="6" customWidth="1"/>
    <col min="3075" max="3075" width="9.88671875" style="6" customWidth="1"/>
    <col min="3076" max="3076" width="11.33203125" style="6" customWidth="1"/>
    <col min="3077" max="3077" width="3.109375" style="6" customWidth="1"/>
    <col min="3078" max="3078" width="17.33203125" style="6" bestFit="1" customWidth="1"/>
    <col min="3079" max="3079" width="11.33203125" style="6" customWidth="1"/>
    <col min="3080" max="3080" width="22.6640625" style="6" bestFit="1" customWidth="1"/>
    <col min="3081" max="3081" width="9.5546875" style="6" bestFit="1" customWidth="1"/>
    <col min="3082" max="3083" width="9.109375" style="6" customWidth="1"/>
    <col min="3084" max="3326" width="9.109375" style="6" hidden="1"/>
    <col min="3327" max="3327" width="28.109375" style="6" customWidth="1"/>
    <col min="3328" max="3328" width="3.6640625" style="6" customWidth="1"/>
    <col min="3329" max="3329" width="31.109375" style="6" customWidth="1"/>
    <col min="3330" max="3330" width="11.109375" style="6" customWidth="1"/>
    <col min="3331" max="3331" width="9.88671875" style="6" customWidth="1"/>
    <col min="3332" max="3332" width="11.33203125" style="6" customWidth="1"/>
    <col min="3333" max="3333" width="3.109375" style="6" customWidth="1"/>
    <col min="3334" max="3334" width="17.33203125" style="6" bestFit="1" customWidth="1"/>
    <col min="3335" max="3335" width="11.33203125" style="6" customWidth="1"/>
    <col min="3336" max="3336" width="22.6640625" style="6" bestFit="1" customWidth="1"/>
    <col min="3337" max="3337" width="9.5546875" style="6" bestFit="1" customWidth="1"/>
    <col min="3338" max="3339" width="9.109375" style="6" customWidth="1"/>
    <col min="3340" max="3582" width="9.109375" style="6" hidden="1"/>
    <col min="3583" max="3583" width="28.109375" style="6" customWidth="1"/>
    <col min="3584" max="3584" width="3.6640625" style="6" customWidth="1"/>
    <col min="3585" max="3585" width="31.109375" style="6" customWidth="1"/>
    <col min="3586" max="3586" width="11.109375" style="6" customWidth="1"/>
    <col min="3587" max="3587" width="9.88671875" style="6" customWidth="1"/>
    <col min="3588" max="3588" width="11.33203125" style="6" customWidth="1"/>
    <col min="3589" max="3589" width="3.109375" style="6" customWidth="1"/>
    <col min="3590" max="3590" width="17.33203125" style="6" bestFit="1" customWidth="1"/>
    <col min="3591" max="3591" width="11.33203125" style="6" customWidth="1"/>
    <col min="3592" max="3592" width="22.6640625" style="6" bestFit="1" customWidth="1"/>
    <col min="3593" max="3593" width="9.5546875" style="6" bestFit="1" customWidth="1"/>
    <col min="3594" max="3595" width="9.109375" style="6" customWidth="1"/>
    <col min="3596" max="3838" width="9.109375" style="6" hidden="1"/>
    <col min="3839" max="3839" width="28.109375" style="6" customWidth="1"/>
    <col min="3840" max="3840" width="3.6640625" style="6" customWidth="1"/>
    <col min="3841" max="3841" width="31.109375" style="6" customWidth="1"/>
    <col min="3842" max="3842" width="11.109375" style="6" customWidth="1"/>
    <col min="3843" max="3843" width="9.88671875" style="6" customWidth="1"/>
    <col min="3844" max="3844" width="11.33203125" style="6" customWidth="1"/>
    <col min="3845" max="3845" width="3.109375" style="6" customWidth="1"/>
    <col min="3846" max="3846" width="17.33203125" style="6" bestFit="1" customWidth="1"/>
    <col min="3847" max="3847" width="11.33203125" style="6" customWidth="1"/>
    <col min="3848" max="3848" width="22.6640625" style="6" bestFit="1" customWidth="1"/>
    <col min="3849" max="3849" width="9.5546875" style="6" bestFit="1" customWidth="1"/>
    <col min="3850" max="3851" width="9.109375" style="6" customWidth="1"/>
    <col min="3852" max="4094" width="9.109375" style="6" hidden="1"/>
    <col min="4095" max="4095" width="28.109375" style="6" customWidth="1"/>
    <col min="4096" max="4096" width="3.6640625" style="6" customWidth="1"/>
    <col min="4097" max="4097" width="31.109375" style="6" customWidth="1"/>
    <col min="4098" max="4098" width="11.109375" style="6" customWidth="1"/>
    <col min="4099" max="4099" width="9.88671875" style="6" customWidth="1"/>
    <col min="4100" max="4100" width="11.33203125" style="6" customWidth="1"/>
    <col min="4101" max="4101" width="3.109375" style="6" customWidth="1"/>
    <col min="4102" max="4102" width="17.33203125" style="6" bestFit="1" customWidth="1"/>
    <col min="4103" max="4103" width="11.33203125" style="6" customWidth="1"/>
    <col min="4104" max="4104" width="22.6640625" style="6" bestFit="1" customWidth="1"/>
    <col min="4105" max="4105" width="9.5546875" style="6" bestFit="1" customWidth="1"/>
    <col min="4106" max="4107" width="9.109375" style="6" customWidth="1"/>
    <col min="4108" max="4350" width="9.109375" style="6" hidden="1"/>
    <col min="4351" max="4351" width="28.109375" style="6" customWidth="1"/>
    <col min="4352" max="4352" width="3.6640625" style="6" customWidth="1"/>
    <col min="4353" max="4353" width="31.109375" style="6" customWidth="1"/>
    <col min="4354" max="4354" width="11.109375" style="6" customWidth="1"/>
    <col min="4355" max="4355" width="9.88671875" style="6" customWidth="1"/>
    <col min="4356" max="4356" width="11.33203125" style="6" customWidth="1"/>
    <col min="4357" max="4357" width="3.109375" style="6" customWidth="1"/>
    <col min="4358" max="4358" width="17.33203125" style="6" bestFit="1" customWidth="1"/>
    <col min="4359" max="4359" width="11.33203125" style="6" customWidth="1"/>
    <col min="4360" max="4360" width="22.6640625" style="6" bestFit="1" customWidth="1"/>
    <col min="4361" max="4361" width="9.5546875" style="6" bestFit="1" customWidth="1"/>
    <col min="4362" max="4363" width="9.109375" style="6" customWidth="1"/>
    <col min="4364" max="4606" width="9.109375" style="6" hidden="1"/>
    <col min="4607" max="4607" width="28.109375" style="6" customWidth="1"/>
    <col min="4608" max="4608" width="3.6640625" style="6" customWidth="1"/>
    <col min="4609" max="4609" width="31.109375" style="6" customWidth="1"/>
    <col min="4610" max="4610" width="11.109375" style="6" customWidth="1"/>
    <col min="4611" max="4611" width="9.88671875" style="6" customWidth="1"/>
    <col min="4612" max="4612" width="11.33203125" style="6" customWidth="1"/>
    <col min="4613" max="4613" width="3.109375" style="6" customWidth="1"/>
    <col min="4614" max="4614" width="17.33203125" style="6" bestFit="1" customWidth="1"/>
    <col min="4615" max="4615" width="11.33203125" style="6" customWidth="1"/>
    <col min="4616" max="4616" width="22.6640625" style="6" bestFit="1" customWidth="1"/>
    <col min="4617" max="4617" width="9.5546875" style="6" bestFit="1" customWidth="1"/>
    <col min="4618" max="4619" width="9.109375" style="6" customWidth="1"/>
    <col min="4620" max="4862" width="9.109375" style="6" hidden="1"/>
    <col min="4863" max="4863" width="28.109375" style="6" customWidth="1"/>
    <col min="4864" max="4864" width="3.6640625" style="6" customWidth="1"/>
    <col min="4865" max="4865" width="31.109375" style="6" customWidth="1"/>
    <col min="4866" max="4866" width="11.109375" style="6" customWidth="1"/>
    <col min="4867" max="4867" width="9.88671875" style="6" customWidth="1"/>
    <col min="4868" max="4868" width="11.33203125" style="6" customWidth="1"/>
    <col min="4869" max="4869" width="3.109375" style="6" customWidth="1"/>
    <col min="4870" max="4870" width="17.33203125" style="6" bestFit="1" customWidth="1"/>
    <col min="4871" max="4871" width="11.33203125" style="6" customWidth="1"/>
    <col min="4872" max="4872" width="22.6640625" style="6" bestFit="1" customWidth="1"/>
    <col min="4873" max="4873" width="9.5546875" style="6" bestFit="1" customWidth="1"/>
    <col min="4874" max="4875" width="9.109375" style="6" customWidth="1"/>
    <col min="4876" max="5118" width="9.109375" style="6" hidden="1"/>
    <col min="5119" max="5119" width="28.109375" style="6" customWidth="1"/>
    <col min="5120" max="5120" width="3.6640625" style="6" customWidth="1"/>
    <col min="5121" max="5121" width="31.109375" style="6" customWidth="1"/>
    <col min="5122" max="5122" width="11.109375" style="6" customWidth="1"/>
    <col min="5123" max="5123" width="9.88671875" style="6" customWidth="1"/>
    <col min="5124" max="5124" width="11.33203125" style="6" customWidth="1"/>
    <col min="5125" max="5125" width="3.109375" style="6" customWidth="1"/>
    <col min="5126" max="5126" width="17.33203125" style="6" bestFit="1" customWidth="1"/>
    <col min="5127" max="5127" width="11.33203125" style="6" customWidth="1"/>
    <col min="5128" max="5128" width="22.6640625" style="6" bestFit="1" customWidth="1"/>
    <col min="5129" max="5129" width="9.5546875" style="6" bestFit="1" customWidth="1"/>
    <col min="5130" max="5131" width="9.109375" style="6" customWidth="1"/>
    <col min="5132" max="5374" width="9.109375" style="6" hidden="1"/>
    <col min="5375" max="5375" width="28.109375" style="6" customWidth="1"/>
    <col min="5376" max="5376" width="3.6640625" style="6" customWidth="1"/>
    <col min="5377" max="5377" width="31.109375" style="6" customWidth="1"/>
    <col min="5378" max="5378" width="11.109375" style="6" customWidth="1"/>
    <col min="5379" max="5379" width="9.88671875" style="6" customWidth="1"/>
    <col min="5380" max="5380" width="11.33203125" style="6" customWidth="1"/>
    <col min="5381" max="5381" width="3.109375" style="6" customWidth="1"/>
    <col min="5382" max="5382" width="17.33203125" style="6" bestFit="1" customWidth="1"/>
    <col min="5383" max="5383" width="11.33203125" style="6" customWidth="1"/>
    <col min="5384" max="5384" width="22.6640625" style="6" bestFit="1" customWidth="1"/>
    <col min="5385" max="5385" width="9.5546875" style="6" bestFit="1" customWidth="1"/>
    <col min="5386" max="5387" width="9.109375" style="6" customWidth="1"/>
    <col min="5388" max="5630" width="9.109375" style="6" hidden="1"/>
    <col min="5631" max="5631" width="28.109375" style="6" customWidth="1"/>
    <col min="5632" max="5632" width="3.6640625" style="6" customWidth="1"/>
    <col min="5633" max="5633" width="31.109375" style="6" customWidth="1"/>
    <col min="5634" max="5634" width="11.109375" style="6" customWidth="1"/>
    <col min="5635" max="5635" width="9.88671875" style="6" customWidth="1"/>
    <col min="5636" max="5636" width="11.33203125" style="6" customWidth="1"/>
    <col min="5637" max="5637" width="3.109375" style="6" customWidth="1"/>
    <col min="5638" max="5638" width="17.33203125" style="6" bestFit="1" customWidth="1"/>
    <col min="5639" max="5639" width="11.33203125" style="6" customWidth="1"/>
    <col min="5640" max="5640" width="22.6640625" style="6" bestFit="1" customWidth="1"/>
    <col min="5641" max="5641" width="9.5546875" style="6" bestFit="1" customWidth="1"/>
    <col min="5642" max="5643" width="9.109375" style="6" customWidth="1"/>
    <col min="5644" max="5886" width="9.109375" style="6" hidden="1"/>
    <col min="5887" max="5887" width="28.109375" style="6" customWidth="1"/>
    <col min="5888" max="5888" width="3.6640625" style="6" customWidth="1"/>
    <col min="5889" max="5889" width="31.109375" style="6" customWidth="1"/>
    <col min="5890" max="5890" width="11.109375" style="6" customWidth="1"/>
    <col min="5891" max="5891" width="9.88671875" style="6" customWidth="1"/>
    <col min="5892" max="5892" width="11.33203125" style="6" customWidth="1"/>
    <col min="5893" max="5893" width="3.109375" style="6" customWidth="1"/>
    <col min="5894" max="5894" width="17.33203125" style="6" bestFit="1" customWidth="1"/>
    <col min="5895" max="5895" width="11.33203125" style="6" customWidth="1"/>
    <col min="5896" max="5896" width="22.6640625" style="6" bestFit="1" customWidth="1"/>
    <col min="5897" max="5897" width="9.5546875" style="6" bestFit="1" customWidth="1"/>
    <col min="5898" max="5899" width="9.109375" style="6" customWidth="1"/>
    <col min="5900" max="6142" width="9.109375" style="6" hidden="1"/>
    <col min="6143" max="6143" width="28.109375" style="6" customWidth="1"/>
    <col min="6144" max="6144" width="3.6640625" style="6" customWidth="1"/>
    <col min="6145" max="6145" width="31.109375" style="6" customWidth="1"/>
    <col min="6146" max="6146" width="11.109375" style="6" customWidth="1"/>
    <col min="6147" max="6147" width="9.88671875" style="6" customWidth="1"/>
    <col min="6148" max="6148" width="11.33203125" style="6" customWidth="1"/>
    <col min="6149" max="6149" width="3.109375" style="6" customWidth="1"/>
    <col min="6150" max="6150" width="17.33203125" style="6" bestFit="1" customWidth="1"/>
    <col min="6151" max="6151" width="11.33203125" style="6" customWidth="1"/>
    <col min="6152" max="6152" width="22.6640625" style="6" bestFit="1" customWidth="1"/>
    <col min="6153" max="6153" width="9.5546875" style="6" bestFit="1" customWidth="1"/>
    <col min="6154" max="6155" width="9.109375" style="6" customWidth="1"/>
    <col min="6156" max="6398" width="9.109375" style="6" hidden="1"/>
    <col min="6399" max="6399" width="28.109375" style="6" customWidth="1"/>
    <col min="6400" max="6400" width="3.6640625" style="6" customWidth="1"/>
    <col min="6401" max="6401" width="31.109375" style="6" customWidth="1"/>
    <col min="6402" max="6402" width="11.109375" style="6" customWidth="1"/>
    <col min="6403" max="6403" width="9.88671875" style="6" customWidth="1"/>
    <col min="6404" max="6404" width="11.33203125" style="6" customWidth="1"/>
    <col min="6405" max="6405" width="3.109375" style="6" customWidth="1"/>
    <col min="6406" max="6406" width="17.33203125" style="6" bestFit="1" customWidth="1"/>
    <col min="6407" max="6407" width="11.33203125" style="6" customWidth="1"/>
    <col min="6408" max="6408" width="22.6640625" style="6" bestFit="1" customWidth="1"/>
    <col min="6409" max="6409" width="9.5546875" style="6" bestFit="1" customWidth="1"/>
    <col min="6410" max="6411" width="9.109375" style="6" customWidth="1"/>
    <col min="6412" max="6654" width="9.109375" style="6" hidden="1"/>
    <col min="6655" max="6655" width="28.109375" style="6" customWidth="1"/>
    <col min="6656" max="6656" width="3.6640625" style="6" customWidth="1"/>
    <col min="6657" max="6657" width="31.109375" style="6" customWidth="1"/>
    <col min="6658" max="6658" width="11.109375" style="6" customWidth="1"/>
    <col min="6659" max="6659" width="9.88671875" style="6" customWidth="1"/>
    <col min="6660" max="6660" width="11.33203125" style="6" customWidth="1"/>
    <col min="6661" max="6661" width="3.109375" style="6" customWidth="1"/>
    <col min="6662" max="6662" width="17.33203125" style="6" bestFit="1" customWidth="1"/>
    <col min="6663" max="6663" width="11.33203125" style="6" customWidth="1"/>
    <col min="6664" max="6664" width="22.6640625" style="6" bestFit="1" customWidth="1"/>
    <col min="6665" max="6665" width="9.5546875" style="6" bestFit="1" customWidth="1"/>
    <col min="6666" max="6667" width="9.109375" style="6" customWidth="1"/>
    <col min="6668" max="6910" width="9.109375" style="6" hidden="1"/>
    <col min="6911" max="6911" width="28.109375" style="6" customWidth="1"/>
    <col min="6912" max="6912" width="3.6640625" style="6" customWidth="1"/>
    <col min="6913" max="6913" width="31.109375" style="6" customWidth="1"/>
    <col min="6914" max="6914" width="11.109375" style="6" customWidth="1"/>
    <col min="6915" max="6915" width="9.88671875" style="6" customWidth="1"/>
    <col min="6916" max="6916" width="11.33203125" style="6" customWidth="1"/>
    <col min="6917" max="6917" width="3.109375" style="6" customWidth="1"/>
    <col min="6918" max="6918" width="17.33203125" style="6" bestFit="1" customWidth="1"/>
    <col min="6919" max="6919" width="11.33203125" style="6" customWidth="1"/>
    <col min="6920" max="6920" width="22.6640625" style="6" bestFit="1" customWidth="1"/>
    <col min="6921" max="6921" width="9.5546875" style="6" bestFit="1" customWidth="1"/>
    <col min="6922" max="6923" width="9.109375" style="6" customWidth="1"/>
    <col min="6924" max="7166" width="9.109375" style="6" hidden="1"/>
    <col min="7167" max="7167" width="28.109375" style="6" customWidth="1"/>
    <col min="7168" max="7168" width="3.6640625" style="6" customWidth="1"/>
    <col min="7169" max="7169" width="31.109375" style="6" customWidth="1"/>
    <col min="7170" max="7170" width="11.109375" style="6" customWidth="1"/>
    <col min="7171" max="7171" width="9.88671875" style="6" customWidth="1"/>
    <col min="7172" max="7172" width="11.33203125" style="6" customWidth="1"/>
    <col min="7173" max="7173" width="3.109375" style="6" customWidth="1"/>
    <col min="7174" max="7174" width="17.33203125" style="6" bestFit="1" customWidth="1"/>
    <col min="7175" max="7175" width="11.33203125" style="6" customWidth="1"/>
    <col min="7176" max="7176" width="22.6640625" style="6" bestFit="1" customWidth="1"/>
    <col min="7177" max="7177" width="9.5546875" style="6" bestFit="1" customWidth="1"/>
    <col min="7178" max="7179" width="9.109375" style="6" customWidth="1"/>
    <col min="7180" max="7422" width="9.109375" style="6" hidden="1"/>
    <col min="7423" max="7423" width="28.109375" style="6" customWidth="1"/>
    <col min="7424" max="7424" width="3.6640625" style="6" customWidth="1"/>
    <col min="7425" max="7425" width="31.109375" style="6" customWidth="1"/>
    <col min="7426" max="7426" width="11.109375" style="6" customWidth="1"/>
    <col min="7427" max="7427" width="9.88671875" style="6" customWidth="1"/>
    <col min="7428" max="7428" width="11.33203125" style="6" customWidth="1"/>
    <col min="7429" max="7429" width="3.109375" style="6" customWidth="1"/>
    <col min="7430" max="7430" width="17.33203125" style="6" bestFit="1" customWidth="1"/>
    <col min="7431" max="7431" width="11.33203125" style="6" customWidth="1"/>
    <col min="7432" max="7432" width="22.6640625" style="6" bestFit="1" customWidth="1"/>
    <col min="7433" max="7433" width="9.5546875" style="6" bestFit="1" customWidth="1"/>
    <col min="7434" max="7435" width="9.109375" style="6" customWidth="1"/>
    <col min="7436" max="7678" width="9.109375" style="6" hidden="1"/>
    <col min="7679" max="7679" width="28.109375" style="6" customWidth="1"/>
    <col min="7680" max="7680" width="3.6640625" style="6" customWidth="1"/>
    <col min="7681" max="7681" width="31.109375" style="6" customWidth="1"/>
    <col min="7682" max="7682" width="11.109375" style="6" customWidth="1"/>
    <col min="7683" max="7683" width="9.88671875" style="6" customWidth="1"/>
    <col min="7684" max="7684" width="11.33203125" style="6" customWidth="1"/>
    <col min="7685" max="7685" width="3.109375" style="6" customWidth="1"/>
    <col min="7686" max="7686" width="17.33203125" style="6" bestFit="1" customWidth="1"/>
    <col min="7687" max="7687" width="11.33203125" style="6" customWidth="1"/>
    <col min="7688" max="7688" width="22.6640625" style="6" bestFit="1" customWidth="1"/>
    <col min="7689" max="7689" width="9.5546875" style="6" bestFit="1" customWidth="1"/>
    <col min="7690" max="7691" width="9.109375" style="6" customWidth="1"/>
    <col min="7692" max="7934" width="9.109375" style="6" hidden="1"/>
    <col min="7935" max="7935" width="28.109375" style="6" customWidth="1"/>
    <col min="7936" max="7936" width="3.6640625" style="6" customWidth="1"/>
    <col min="7937" max="7937" width="31.109375" style="6" customWidth="1"/>
    <col min="7938" max="7938" width="11.109375" style="6" customWidth="1"/>
    <col min="7939" max="7939" width="9.88671875" style="6" customWidth="1"/>
    <col min="7940" max="7940" width="11.33203125" style="6" customWidth="1"/>
    <col min="7941" max="7941" width="3.109375" style="6" customWidth="1"/>
    <col min="7942" max="7942" width="17.33203125" style="6" bestFit="1" customWidth="1"/>
    <col min="7943" max="7943" width="11.33203125" style="6" customWidth="1"/>
    <col min="7944" max="7944" width="22.6640625" style="6" bestFit="1" customWidth="1"/>
    <col min="7945" max="7945" width="9.5546875" style="6" bestFit="1" customWidth="1"/>
    <col min="7946" max="7947" width="9.109375" style="6" customWidth="1"/>
    <col min="7948" max="8190" width="9.109375" style="6" hidden="1"/>
    <col min="8191" max="8191" width="28.109375" style="6" customWidth="1"/>
    <col min="8192" max="8192" width="3.6640625" style="6" customWidth="1"/>
    <col min="8193" max="8193" width="31.109375" style="6" customWidth="1"/>
    <col min="8194" max="8194" width="11.109375" style="6" customWidth="1"/>
    <col min="8195" max="8195" width="9.88671875" style="6" customWidth="1"/>
    <col min="8196" max="8196" width="11.33203125" style="6" customWidth="1"/>
    <col min="8197" max="8197" width="3.109375" style="6" customWidth="1"/>
    <col min="8198" max="8198" width="17.33203125" style="6" bestFit="1" customWidth="1"/>
    <col min="8199" max="8199" width="11.33203125" style="6" customWidth="1"/>
    <col min="8200" max="8200" width="22.6640625" style="6" bestFit="1" customWidth="1"/>
    <col min="8201" max="8201" width="9.5546875" style="6" bestFit="1" customWidth="1"/>
    <col min="8202" max="8203" width="9.109375" style="6" customWidth="1"/>
    <col min="8204" max="8446" width="9.109375" style="6" hidden="1"/>
    <col min="8447" max="8447" width="28.109375" style="6" customWidth="1"/>
    <col min="8448" max="8448" width="3.6640625" style="6" customWidth="1"/>
    <col min="8449" max="8449" width="31.109375" style="6" customWidth="1"/>
    <col min="8450" max="8450" width="11.109375" style="6" customWidth="1"/>
    <col min="8451" max="8451" width="9.88671875" style="6" customWidth="1"/>
    <col min="8452" max="8452" width="11.33203125" style="6" customWidth="1"/>
    <col min="8453" max="8453" width="3.109375" style="6" customWidth="1"/>
    <col min="8454" max="8454" width="17.33203125" style="6" bestFit="1" customWidth="1"/>
    <col min="8455" max="8455" width="11.33203125" style="6" customWidth="1"/>
    <col min="8456" max="8456" width="22.6640625" style="6" bestFit="1" customWidth="1"/>
    <col min="8457" max="8457" width="9.5546875" style="6" bestFit="1" customWidth="1"/>
    <col min="8458" max="8459" width="9.109375" style="6" customWidth="1"/>
    <col min="8460" max="8702" width="9.109375" style="6" hidden="1"/>
    <col min="8703" max="8703" width="28.109375" style="6" customWidth="1"/>
    <col min="8704" max="8704" width="3.6640625" style="6" customWidth="1"/>
    <col min="8705" max="8705" width="31.109375" style="6" customWidth="1"/>
    <col min="8706" max="8706" width="11.109375" style="6" customWidth="1"/>
    <col min="8707" max="8707" width="9.88671875" style="6" customWidth="1"/>
    <col min="8708" max="8708" width="11.33203125" style="6" customWidth="1"/>
    <col min="8709" max="8709" width="3.109375" style="6" customWidth="1"/>
    <col min="8710" max="8710" width="17.33203125" style="6" bestFit="1" customWidth="1"/>
    <col min="8711" max="8711" width="11.33203125" style="6" customWidth="1"/>
    <col min="8712" max="8712" width="22.6640625" style="6" bestFit="1" customWidth="1"/>
    <col min="8713" max="8713" width="9.5546875" style="6" bestFit="1" customWidth="1"/>
    <col min="8714" max="8715" width="9.109375" style="6" customWidth="1"/>
    <col min="8716" max="8958" width="9.109375" style="6" hidden="1"/>
    <col min="8959" max="8959" width="28.109375" style="6" customWidth="1"/>
    <col min="8960" max="8960" width="3.6640625" style="6" customWidth="1"/>
    <col min="8961" max="8961" width="31.109375" style="6" customWidth="1"/>
    <col min="8962" max="8962" width="11.109375" style="6" customWidth="1"/>
    <col min="8963" max="8963" width="9.88671875" style="6" customWidth="1"/>
    <col min="8964" max="8964" width="11.33203125" style="6" customWidth="1"/>
    <col min="8965" max="8965" width="3.109375" style="6" customWidth="1"/>
    <col min="8966" max="8966" width="17.33203125" style="6" bestFit="1" customWidth="1"/>
    <col min="8967" max="8967" width="11.33203125" style="6" customWidth="1"/>
    <col min="8968" max="8968" width="22.6640625" style="6" bestFit="1" customWidth="1"/>
    <col min="8969" max="8969" width="9.5546875" style="6" bestFit="1" customWidth="1"/>
    <col min="8970" max="8971" width="9.109375" style="6" customWidth="1"/>
    <col min="8972" max="9214" width="9.109375" style="6" hidden="1"/>
    <col min="9215" max="9215" width="28.109375" style="6" customWidth="1"/>
    <col min="9216" max="9216" width="3.6640625" style="6" customWidth="1"/>
    <col min="9217" max="9217" width="31.109375" style="6" customWidth="1"/>
    <col min="9218" max="9218" width="11.109375" style="6" customWidth="1"/>
    <col min="9219" max="9219" width="9.88671875" style="6" customWidth="1"/>
    <col min="9220" max="9220" width="11.33203125" style="6" customWidth="1"/>
    <col min="9221" max="9221" width="3.109375" style="6" customWidth="1"/>
    <col min="9222" max="9222" width="17.33203125" style="6" bestFit="1" customWidth="1"/>
    <col min="9223" max="9223" width="11.33203125" style="6" customWidth="1"/>
    <col min="9224" max="9224" width="22.6640625" style="6" bestFit="1" customWidth="1"/>
    <col min="9225" max="9225" width="9.5546875" style="6" bestFit="1" customWidth="1"/>
    <col min="9226" max="9227" width="9.109375" style="6" customWidth="1"/>
    <col min="9228" max="9470" width="9.109375" style="6" hidden="1"/>
    <col min="9471" max="9471" width="28.109375" style="6" customWidth="1"/>
    <col min="9472" max="9472" width="3.6640625" style="6" customWidth="1"/>
    <col min="9473" max="9473" width="31.109375" style="6" customWidth="1"/>
    <col min="9474" max="9474" width="11.109375" style="6" customWidth="1"/>
    <col min="9475" max="9475" width="9.88671875" style="6" customWidth="1"/>
    <col min="9476" max="9476" width="11.33203125" style="6" customWidth="1"/>
    <col min="9477" max="9477" width="3.109375" style="6" customWidth="1"/>
    <col min="9478" max="9478" width="17.33203125" style="6" bestFit="1" customWidth="1"/>
    <col min="9479" max="9479" width="11.33203125" style="6" customWidth="1"/>
    <col min="9480" max="9480" width="22.6640625" style="6" bestFit="1" customWidth="1"/>
    <col min="9481" max="9481" width="9.5546875" style="6" bestFit="1" customWidth="1"/>
    <col min="9482" max="9483" width="9.109375" style="6" customWidth="1"/>
    <col min="9484" max="9726" width="9.109375" style="6" hidden="1"/>
    <col min="9727" max="9727" width="28.109375" style="6" customWidth="1"/>
    <col min="9728" max="9728" width="3.6640625" style="6" customWidth="1"/>
    <col min="9729" max="9729" width="31.109375" style="6" customWidth="1"/>
    <col min="9730" max="9730" width="11.109375" style="6" customWidth="1"/>
    <col min="9731" max="9731" width="9.88671875" style="6" customWidth="1"/>
    <col min="9732" max="9732" width="11.33203125" style="6" customWidth="1"/>
    <col min="9733" max="9733" width="3.109375" style="6" customWidth="1"/>
    <col min="9734" max="9734" width="17.33203125" style="6" bestFit="1" customWidth="1"/>
    <col min="9735" max="9735" width="11.33203125" style="6" customWidth="1"/>
    <col min="9736" max="9736" width="22.6640625" style="6" bestFit="1" customWidth="1"/>
    <col min="9737" max="9737" width="9.5546875" style="6" bestFit="1" customWidth="1"/>
    <col min="9738" max="9739" width="9.109375" style="6" customWidth="1"/>
    <col min="9740" max="9982" width="9.109375" style="6" hidden="1"/>
    <col min="9983" max="9983" width="28.109375" style="6" customWidth="1"/>
    <col min="9984" max="9984" width="3.6640625" style="6" customWidth="1"/>
    <col min="9985" max="9985" width="31.109375" style="6" customWidth="1"/>
    <col min="9986" max="9986" width="11.109375" style="6" customWidth="1"/>
    <col min="9987" max="9987" width="9.88671875" style="6" customWidth="1"/>
    <col min="9988" max="9988" width="11.33203125" style="6" customWidth="1"/>
    <col min="9989" max="9989" width="3.109375" style="6" customWidth="1"/>
    <col min="9990" max="9990" width="17.33203125" style="6" bestFit="1" customWidth="1"/>
    <col min="9991" max="9991" width="11.33203125" style="6" customWidth="1"/>
    <col min="9992" max="9992" width="22.6640625" style="6" bestFit="1" customWidth="1"/>
    <col min="9993" max="9993" width="9.5546875" style="6" bestFit="1" customWidth="1"/>
    <col min="9994" max="9995" width="9.109375" style="6" customWidth="1"/>
    <col min="9996" max="10238" width="9.109375" style="6" hidden="1"/>
    <col min="10239" max="10239" width="28.109375" style="6" customWidth="1"/>
    <col min="10240" max="10240" width="3.6640625" style="6" customWidth="1"/>
    <col min="10241" max="10241" width="31.109375" style="6" customWidth="1"/>
    <col min="10242" max="10242" width="11.109375" style="6" customWidth="1"/>
    <col min="10243" max="10243" width="9.88671875" style="6" customWidth="1"/>
    <col min="10244" max="10244" width="11.33203125" style="6" customWidth="1"/>
    <col min="10245" max="10245" width="3.109375" style="6" customWidth="1"/>
    <col min="10246" max="10246" width="17.33203125" style="6" bestFit="1" customWidth="1"/>
    <col min="10247" max="10247" width="11.33203125" style="6" customWidth="1"/>
    <col min="10248" max="10248" width="22.6640625" style="6" bestFit="1" customWidth="1"/>
    <col min="10249" max="10249" width="9.5546875" style="6" bestFit="1" customWidth="1"/>
    <col min="10250" max="10251" width="9.109375" style="6" customWidth="1"/>
    <col min="10252" max="10494" width="9.109375" style="6" hidden="1"/>
    <col min="10495" max="10495" width="28.109375" style="6" customWidth="1"/>
    <col min="10496" max="10496" width="3.6640625" style="6" customWidth="1"/>
    <col min="10497" max="10497" width="31.109375" style="6" customWidth="1"/>
    <col min="10498" max="10498" width="11.109375" style="6" customWidth="1"/>
    <col min="10499" max="10499" width="9.88671875" style="6" customWidth="1"/>
    <col min="10500" max="10500" width="11.33203125" style="6" customWidth="1"/>
    <col min="10501" max="10501" width="3.109375" style="6" customWidth="1"/>
    <col min="10502" max="10502" width="17.33203125" style="6" bestFit="1" customWidth="1"/>
    <col min="10503" max="10503" width="11.33203125" style="6" customWidth="1"/>
    <col min="10504" max="10504" width="22.6640625" style="6" bestFit="1" customWidth="1"/>
    <col min="10505" max="10505" width="9.5546875" style="6" bestFit="1" customWidth="1"/>
    <col min="10506" max="10507" width="9.109375" style="6" customWidth="1"/>
    <col min="10508" max="10750" width="9.109375" style="6" hidden="1"/>
    <col min="10751" max="10751" width="28.109375" style="6" customWidth="1"/>
    <col min="10752" max="10752" width="3.6640625" style="6" customWidth="1"/>
    <col min="10753" max="10753" width="31.109375" style="6" customWidth="1"/>
    <col min="10754" max="10754" width="11.109375" style="6" customWidth="1"/>
    <col min="10755" max="10755" width="9.88671875" style="6" customWidth="1"/>
    <col min="10756" max="10756" width="11.33203125" style="6" customWidth="1"/>
    <col min="10757" max="10757" width="3.109375" style="6" customWidth="1"/>
    <col min="10758" max="10758" width="17.33203125" style="6" bestFit="1" customWidth="1"/>
    <col min="10759" max="10759" width="11.33203125" style="6" customWidth="1"/>
    <col min="10760" max="10760" width="22.6640625" style="6" bestFit="1" customWidth="1"/>
    <col min="10761" max="10761" width="9.5546875" style="6" bestFit="1" customWidth="1"/>
    <col min="10762" max="10763" width="9.109375" style="6" customWidth="1"/>
    <col min="10764" max="11006" width="9.109375" style="6" hidden="1"/>
    <col min="11007" max="11007" width="28.109375" style="6" customWidth="1"/>
    <col min="11008" max="11008" width="3.6640625" style="6" customWidth="1"/>
    <col min="11009" max="11009" width="31.109375" style="6" customWidth="1"/>
    <col min="11010" max="11010" width="11.109375" style="6" customWidth="1"/>
    <col min="11011" max="11011" width="9.88671875" style="6" customWidth="1"/>
    <col min="11012" max="11012" width="11.33203125" style="6" customWidth="1"/>
    <col min="11013" max="11013" width="3.109375" style="6" customWidth="1"/>
    <col min="11014" max="11014" width="17.33203125" style="6" bestFit="1" customWidth="1"/>
    <col min="11015" max="11015" width="11.33203125" style="6" customWidth="1"/>
    <col min="11016" max="11016" width="22.6640625" style="6" bestFit="1" customWidth="1"/>
    <col min="11017" max="11017" width="9.5546875" style="6" bestFit="1" customWidth="1"/>
    <col min="11018" max="11019" width="9.109375" style="6" customWidth="1"/>
    <col min="11020" max="11262" width="9.109375" style="6" hidden="1"/>
    <col min="11263" max="11263" width="28.109375" style="6" customWidth="1"/>
    <col min="11264" max="11264" width="3.6640625" style="6" customWidth="1"/>
    <col min="11265" max="11265" width="31.109375" style="6" customWidth="1"/>
    <col min="11266" max="11266" width="11.109375" style="6" customWidth="1"/>
    <col min="11267" max="11267" width="9.88671875" style="6" customWidth="1"/>
    <col min="11268" max="11268" width="11.33203125" style="6" customWidth="1"/>
    <col min="11269" max="11269" width="3.109375" style="6" customWidth="1"/>
    <col min="11270" max="11270" width="17.33203125" style="6" bestFit="1" customWidth="1"/>
    <col min="11271" max="11271" width="11.33203125" style="6" customWidth="1"/>
    <col min="11272" max="11272" width="22.6640625" style="6" bestFit="1" customWidth="1"/>
    <col min="11273" max="11273" width="9.5546875" style="6" bestFit="1" customWidth="1"/>
    <col min="11274" max="11275" width="9.109375" style="6" customWidth="1"/>
    <col min="11276" max="11518" width="9.109375" style="6" hidden="1"/>
    <col min="11519" max="11519" width="28.109375" style="6" customWidth="1"/>
    <col min="11520" max="11520" width="3.6640625" style="6" customWidth="1"/>
    <col min="11521" max="11521" width="31.109375" style="6" customWidth="1"/>
    <col min="11522" max="11522" width="11.109375" style="6" customWidth="1"/>
    <col min="11523" max="11523" width="9.88671875" style="6" customWidth="1"/>
    <col min="11524" max="11524" width="11.33203125" style="6" customWidth="1"/>
    <col min="11525" max="11525" width="3.109375" style="6" customWidth="1"/>
    <col min="11526" max="11526" width="17.33203125" style="6" bestFit="1" customWidth="1"/>
    <col min="11527" max="11527" width="11.33203125" style="6" customWidth="1"/>
    <col min="11528" max="11528" width="22.6640625" style="6" bestFit="1" customWidth="1"/>
    <col min="11529" max="11529" width="9.5546875" style="6" bestFit="1" customWidth="1"/>
    <col min="11530" max="11531" width="9.109375" style="6" customWidth="1"/>
    <col min="11532" max="11774" width="9.109375" style="6" hidden="1"/>
    <col min="11775" max="11775" width="28.109375" style="6" customWidth="1"/>
    <col min="11776" max="11776" width="3.6640625" style="6" customWidth="1"/>
    <col min="11777" max="11777" width="31.109375" style="6" customWidth="1"/>
    <col min="11778" max="11778" width="11.109375" style="6" customWidth="1"/>
    <col min="11779" max="11779" width="9.88671875" style="6" customWidth="1"/>
    <col min="11780" max="11780" width="11.33203125" style="6" customWidth="1"/>
    <col min="11781" max="11781" width="3.109375" style="6" customWidth="1"/>
    <col min="11782" max="11782" width="17.33203125" style="6" bestFit="1" customWidth="1"/>
    <col min="11783" max="11783" width="11.33203125" style="6" customWidth="1"/>
    <col min="11784" max="11784" width="22.6640625" style="6" bestFit="1" customWidth="1"/>
    <col min="11785" max="11785" width="9.5546875" style="6" bestFit="1" customWidth="1"/>
    <col min="11786" max="11787" width="9.109375" style="6" customWidth="1"/>
    <col min="11788" max="12030" width="9.109375" style="6" hidden="1"/>
    <col min="12031" max="12031" width="28.109375" style="6" customWidth="1"/>
    <col min="12032" max="12032" width="3.6640625" style="6" customWidth="1"/>
    <col min="12033" max="12033" width="31.109375" style="6" customWidth="1"/>
    <col min="12034" max="12034" width="11.109375" style="6" customWidth="1"/>
    <col min="12035" max="12035" width="9.88671875" style="6" customWidth="1"/>
    <col min="12036" max="12036" width="11.33203125" style="6" customWidth="1"/>
    <col min="12037" max="12037" width="3.109375" style="6" customWidth="1"/>
    <col min="12038" max="12038" width="17.33203125" style="6" bestFit="1" customWidth="1"/>
    <col min="12039" max="12039" width="11.33203125" style="6" customWidth="1"/>
    <col min="12040" max="12040" width="22.6640625" style="6" bestFit="1" customWidth="1"/>
    <col min="12041" max="12041" width="9.5546875" style="6" bestFit="1" customWidth="1"/>
    <col min="12042" max="12043" width="9.109375" style="6" customWidth="1"/>
    <col min="12044" max="12286" width="9.109375" style="6" hidden="1"/>
    <col min="12287" max="12287" width="28.109375" style="6" customWidth="1"/>
    <col min="12288" max="12288" width="3.6640625" style="6" customWidth="1"/>
    <col min="12289" max="12289" width="31.109375" style="6" customWidth="1"/>
    <col min="12290" max="12290" width="11.109375" style="6" customWidth="1"/>
    <col min="12291" max="12291" width="9.88671875" style="6" customWidth="1"/>
    <col min="12292" max="12292" width="11.33203125" style="6" customWidth="1"/>
    <col min="12293" max="12293" width="3.109375" style="6" customWidth="1"/>
    <col min="12294" max="12294" width="17.33203125" style="6" bestFit="1" customWidth="1"/>
    <col min="12295" max="12295" width="11.33203125" style="6" customWidth="1"/>
    <col min="12296" max="12296" width="22.6640625" style="6" bestFit="1" customWidth="1"/>
    <col min="12297" max="12297" width="9.5546875" style="6" bestFit="1" customWidth="1"/>
    <col min="12298" max="12299" width="9.109375" style="6" customWidth="1"/>
    <col min="12300" max="12542" width="9.109375" style="6" hidden="1"/>
    <col min="12543" max="12543" width="28.109375" style="6" customWidth="1"/>
    <col min="12544" max="12544" width="3.6640625" style="6" customWidth="1"/>
    <col min="12545" max="12545" width="31.109375" style="6" customWidth="1"/>
    <col min="12546" max="12546" width="11.109375" style="6" customWidth="1"/>
    <col min="12547" max="12547" width="9.88671875" style="6" customWidth="1"/>
    <col min="12548" max="12548" width="11.33203125" style="6" customWidth="1"/>
    <col min="12549" max="12549" width="3.109375" style="6" customWidth="1"/>
    <col min="12550" max="12550" width="17.33203125" style="6" bestFit="1" customWidth="1"/>
    <col min="12551" max="12551" width="11.33203125" style="6" customWidth="1"/>
    <col min="12552" max="12552" width="22.6640625" style="6" bestFit="1" customWidth="1"/>
    <col min="12553" max="12553" width="9.5546875" style="6" bestFit="1" customWidth="1"/>
    <col min="12554" max="12555" width="9.109375" style="6" customWidth="1"/>
    <col min="12556" max="12798" width="9.109375" style="6" hidden="1"/>
    <col min="12799" max="12799" width="28.109375" style="6" customWidth="1"/>
    <col min="12800" max="12800" width="3.6640625" style="6" customWidth="1"/>
    <col min="12801" max="12801" width="31.109375" style="6" customWidth="1"/>
    <col min="12802" max="12802" width="11.109375" style="6" customWidth="1"/>
    <col min="12803" max="12803" width="9.88671875" style="6" customWidth="1"/>
    <col min="12804" max="12804" width="11.33203125" style="6" customWidth="1"/>
    <col min="12805" max="12805" width="3.109375" style="6" customWidth="1"/>
    <col min="12806" max="12806" width="17.33203125" style="6" bestFit="1" customWidth="1"/>
    <col min="12807" max="12807" width="11.33203125" style="6" customWidth="1"/>
    <col min="12808" max="12808" width="22.6640625" style="6" bestFit="1" customWidth="1"/>
    <col min="12809" max="12809" width="9.5546875" style="6" bestFit="1" customWidth="1"/>
    <col min="12810" max="12811" width="9.109375" style="6" customWidth="1"/>
    <col min="12812" max="13054" width="9.109375" style="6" hidden="1"/>
    <col min="13055" max="13055" width="28.109375" style="6" customWidth="1"/>
    <col min="13056" max="13056" width="3.6640625" style="6" customWidth="1"/>
    <col min="13057" max="13057" width="31.109375" style="6" customWidth="1"/>
    <col min="13058" max="13058" width="11.109375" style="6" customWidth="1"/>
    <col min="13059" max="13059" width="9.88671875" style="6" customWidth="1"/>
    <col min="13060" max="13060" width="11.33203125" style="6" customWidth="1"/>
    <col min="13061" max="13061" width="3.109375" style="6" customWidth="1"/>
    <col min="13062" max="13062" width="17.33203125" style="6" bestFit="1" customWidth="1"/>
    <col min="13063" max="13063" width="11.33203125" style="6" customWidth="1"/>
    <col min="13064" max="13064" width="22.6640625" style="6" bestFit="1" customWidth="1"/>
    <col min="13065" max="13065" width="9.5546875" style="6" bestFit="1" customWidth="1"/>
    <col min="13066" max="13067" width="9.109375" style="6" customWidth="1"/>
    <col min="13068" max="13310" width="9.109375" style="6" hidden="1"/>
    <col min="13311" max="13311" width="28.109375" style="6" customWidth="1"/>
    <col min="13312" max="13312" width="3.6640625" style="6" customWidth="1"/>
    <col min="13313" max="13313" width="31.109375" style="6" customWidth="1"/>
    <col min="13314" max="13314" width="11.109375" style="6" customWidth="1"/>
    <col min="13315" max="13315" width="9.88671875" style="6" customWidth="1"/>
    <col min="13316" max="13316" width="11.33203125" style="6" customWidth="1"/>
    <col min="13317" max="13317" width="3.109375" style="6" customWidth="1"/>
    <col min="13318" max="13318" width="17.33203125" style="6" bestFit="1" customWidth="1"/>
    <col min="13319" max="13319" width="11.33203125" style="6" customWidth="1"/>
    <col min="13320" max="13320" width="22.6640625" style="6" bestFit="1" customWidth="1"/>
    <col min="13321" max="13321" width="9.5546875" style="6" bestFit="1" customWidth="1"/>
    <col min="13322" max="13323" width="9.109375" style="6" customWidth="1"/>
    <col min="13324" max="13566" width="9.109375" style="6" hidden="1"/>
    <col min="13567" max="13567" width="28.109375" style="6" customWidth="1"/>
    <col min="13568" max="13568" width="3.6640625" style="6" customWidth="1"/>
    <col min="13569" max="13569" width="31.109375" style="6" customWidth="1"/>
    <col min="13570" max="13570" width="11.109375" style="6" customWidth="1"/>
    <col min="13571" max="13571" width="9.88671875" style="6" customWidth="1"/>
    <col min="13572" max="13572" width="11.33203125" style="6" customWidth="1"/>
    <col min="13573" max="13573" width="3.109375" style="6" customWidth="1"/>
    <col min="13574" max="13574" width="17.33203125" style="6" bestFit="1" customWidth="1"/>
    <col min="13575" max="13575" width="11.33203125" style="6" customWidth="1"/>
    <col min="13576" max="13576" width="22.6640625" style="6" bestFit="1" customWidth="1"/>
    <col min="13577" max="13577" width="9.5546875" style="6" bestFit="1" customWidth="1"/>
    <col min="13578" max="13579" width="9.109375" style="6" customWidth="1"/>
    <col min="13580" max="13822" width="9.109375" style="6" hidden="1"/>
    <col min="13823" max="13823" width="28.109375" style="6" customWidth="1"/>
    <col min="13824" max="13824" width="3.6640625" style="6" customWidth="1"/>
    <col min="13825" max="13825" width="31.109375" style="6" customWidth="1"/>
    <col min="13826" max="13826" width="11.109375" style="6" customWidth="1"/>
    <col min="13827" max="13827" width="9.88671875" style="6" customWidth="1"/>
    <col min="13828" max="13828" width="11.33203125" style="6" customWidth="1"/>
    <col min="13829" max="13829" width="3.109375" style="6" customWidth="1"/>
    <col min="13830" max="13830" width="17.33203125" style="6" bestFit="1" customWidth="1"/>
    <col min="13831" max="13831" width="11.33203125" style="6" customWidth="1"/>
    <col min="13832" max="13832" width="22.6640625" style="6" bestFit="1" customWidth="1"/>
    <col min="13833" max="13833" width="9.5546875" style="6" bestFit="1" customWidth="1"/>
    <col min="13834" max="13835" width="9.109375" style="6" customWidth="1"/>
    <col min="13836" max="14078" width="9.109375" style="6" hidden="1"/>
    <col min="14079" max="14079" width="28.109375" style="6" customWidth="1"/>
    <col min="14080" max="14080" width="3.6640625" style="6" customWidth="1"/>
    <col min="14081" max="14081" width="31.109375" style="6" customWidth="1"/>
    <col min="14082" max="14082" width="11.109375" style="6" customWidth="1"/>
    <col min="14083" max="14083" width="9.88671875" style="6" customWidth="1"/>
    <col min="14084" max="14084" width="11.33203125" style="6" customWidth="1"/>
    <col min="14085" max="14085" width="3.109375" style="6" customWidth="1"/>
    <col min="14086" max="14086" width="17.33203125" style="6" bestFit="1" customWidth="1"/>
    <col min="14087" max="14087" width="11.33203125" style="6" customWidth="1"/>
    <col min="14088" max="14088" width="22.6640625" style="6" bestFit="1" customWidth="1"/>
    <col min="14089" max="14089" width="9.5546875" style="6" bestFit="1" customWidth="1"/>
    <col min="14090" max="14091" width="9.109375" style="6" customWidth="1"/>
    <col min="14092" max="14334" width="9.109375" style="6" hidden="1"/>
    <col min="14335" max="14335" width="28.109375" style="6" customWidth="1"/>
    <col min="14336" max="14336" width="3.6640625" style="6" customWidth="1"/>
    <col min="14337" max="14337" width="31.109375" style="6" customWidth="1"/>
    <col min="14338" max="14338" width="11.109375" style="6" customWidth="1"/>
    <col min="14339" max="14339" width="9.88671875" style="6" customWidth="1"/>
    <col min="14340" max="14340" width="11.33203125" style="6" customWidth="1"/>
    <col min="14341" max="14341" width="3.109375" style="6" customWidth="1"/>
    <col min="14342" max="14342" width="17.33203125" style="6" bestFit="1" customWidth="1"/>
    <col min="14343" max="14343" width="11.33203125" style="6" customWidth="1"/>
    <col min="14344" max="14344" width="22.6640625" style="6" bestFit="1" customWidth="1"/>
    <col min="14345" max="14345" width="9.5546875" style="6" bestFit="1" customWidth="1"/>
    <col min="14346" max="14347" width="9.109375" style="6" customWidth="1"/>
    <col min="14348" max="14590" width="9.109375" style="6" hidden="1"/>
    <col min="14591" max="14591" width="28.109375" style="6" customWidth="1"/>
    <col min="14592" max="14592" width="3.6640625" style="6" customWidth="1"/>
    <col min="14593" max="14593" width="31.109375" style="6" customWidth="1"/>
    <col min="14594" max="14594" width="11.109375" style="6" customWidth="1"/>
    <col min="14595" max="14595" width="9.88671875" style="6" customWidth="1"/>
    <col min="14596" max="14596" width="11.33203125" style="6" customWidth="1"/>
    <col min="14597" max="14597" width="3.109375" style="6" customWidth="1"/>
    <col min="14598" max="14598" width="17.33203125" style="6" bestFit="1" customWidth="1"/>
    <col min="14599" max="14599" width="11.33203125" style="6" customWidth="1"/>
    <col min="14600" max="14600" width="22.6640625" style="6" bestFit="1" customWidth="1"/>
    <col min="14601" max="14601" width="9.5546875" style="6" bestFit="1" customWidth="1"/>
    <col min="14602" max="14603" width="9.109375" style="6" customWidth="1"/>
    <col min="14604" max="14846" width="9.109375" style="6" hidden="1"/>
    <col min="14847" max="14847" width="28.109375" style="6" customWidth="1"/>
    <col min="14848" max="14848" width="3.6640625" style="6" customWidth="1"/>
    <col min="14849" max="14849" width="31.109375" style="6" customWidth="1"/>
    <col min="14850" max="14850" width="11.109375" style="6" customWidth="1"/>
    <col min="14851" max="14851" width="9.88671875" style="6" customWidth="1"/>
    <col min="14852" max="14852" width="11.33203125" style="6" customWidth="1"/>
    <col min="14853" max="14853" width="3.109375" style="6" customWidth="1"/>
    <col min="14854" max="14854" width="17.33203125" style="6" bestFit="1" customWidth="1"/>
    <col min="14855" max="14855" width="11.33203125" style="6" customWidth="1"/>
    <col min="14856" max="14856" width="22.6640625" style="6" bestFit="1" customWidth="1"/>
    <col min="14857" max="14857" width="9.5546875" style="6" bestFit="1" customWidth="1"/>
    <col min="14858" max="14859" width="9.109375" style="6" customWidth="1"/>
    <col min="14860" max="15102" width="9.109375" style="6" hidden="1"/>
    <col min="15103" max="15103" width="28.109375" style="6" customWidth="1"/>
    <col min="15104" max="15104" width="3.6640625" style="6" customWidth="1"/>
    <col min="15105" max="15105" width="31.109375" style="6" customWidth="1"/>
    <col min="15106" max="15106" width="11.109375" style="6" customWidth="1"/>
    <col min="15107" max="15107" width="9.88671875" style="6" customWidth="1"/>
    <col min="15108" max="15108" width="11.33203125" style="6" customWidth="1"/>
    <col min="15109" max="15109" width="3.109375" style="6" customWidth="1"/>
    <col min="15110" max="15110" width="17.33203125" style="6" bestFit="1" customWidth="1"/>
    <col min="15111" max="15111" width="11.33203125" style="6" customWidth="1"/>
    <col min="15112" max="15112" width="22.6640625" style="6" bestFit="1" customWidth="1"/>
    <col min="15113" max="15113" width="9.5546875" style="6" bestFit="1" customWidth="1"/>
    <col min="15114" max="15115" width="9.109375" style="6" customWidth="1"/>
    <col min="15116" max="15358" width="9.109375" style="6" hidden="1"/>
    <col min="15359" max="15359" width="28.109375" style="6" customWidth="1"/>
    <col min="15360" max="15360" width="3.6640625" style="6" customWidth="1"/>
    <col min="15361" max="15361" width="31.109375" style="6" customWidth="1"/>
    <col min="15362" max="15362" width="11.109375" style="6" customWidth="1"/>
    <col min="15363" max="15363" width="9.88671875" style="6" customWidth="1"/>
    <col min="15364" max="15364" width="11.33203125" style="6" customWidth="1"/>
    <col min="15365" max="15365" width="3.109375" style="6" customWidth="1"/>
    <col min="15366" max="15366" width="17.33203125" style="6" bestFit="1" customWidth="1"/>
    <col min="15367" max="15367" width="11.33203125" style="6" customWidth="1"/>
    <col min="15368" max="15368" width="22.6640625" style="6" bestFit="1" customWidth="1"/>
    <col min="15369" max="15369" width="9.5546875" style="6" bestFit="1" customWidth="1"/>
    <col min="15370" max="15371" width="9.109375" style="6" customWidth="1"/>
    <col min="15372" max="15614" width="9.109375" style="6" hidden="1"/>
    <col min="15615" max="15615" width="28.109375" style="6" customWidth="1"/>
    <col min="15616" max="15616" width="3.6640625" style="6" customWidth="1"/>
    <col min="15617" max="15617" width="31.109375" style="6" customWidth="1"/>
    <col min="15618" max="15618" width="11.109375" style="6" customWidth="1"/>
    <col min="15619" max="15619" width="9.88671875" style="6" customWidth="1"/>
    <col min="15620" max="15620" width="11.33203125" style="6" customWidth="1"/>
    <col min="15621" max="15621" width="3.109375" style="6" customWidth="1"/>
    <col min="15622" max="15622" width="17.33203125" style="6" bestFit="1" customWidth="1"/>
    <col min="15623" max="15623" width="11.33203125" style="6" customWidth="1"/>
    <col min="15624" max="15624" width="22.6640625" style="6" bestFit="1" customWidth="1"/>
    <col min="15625" max="15625" width="9.5546875" style="6" bestFit="1" customWidth="1"/>
    <col min="15626" max="15627" width="9.109375" style="6" customWidth="1"/>
    <col min="15628" max="15870" width="9.109375" style="6" hidden="1"/>
    <col min="15871" max="15871" width="28.109375" style="6" customWidth="1"/>
    <col min="15872" max="15872" width="3.6640625" style="6" customWidth="1"/>
    <col min="15873" max="15873" width="31.109375" style="6" customWidth="1"/>
    <col min="15874" max="15874" width="11.109375" style="6" customWidth="1"/>
    <col min="15875" max="15875" width="9.88671875" style="6" customWidth="1"/>
    <col min="15876" max="15876" width="11.33203125" style="6" customWidth="1"/>
    <col min="15877" max="15877" width="3.109375" style="6" customWidth="1"/>
    <col min="15878" max="15878" width="17.33203125" style="6" bestFit="1" customWidth="1"/>
    <col min="15879" max="15879" width="11.33203125" style="6" customWidth="1"/>
    <col min="15880" max="15880" width="22.6640625" style="6" bestFit="1" customWidth="1"/>
    <col min="15881" max="15881" width="9.5546875" style="6" bestFit="1" customWidth="1"/>
    <col min="15882" max="15883" width="9.109375" style="6" customWidth="1"/>
    <col min="15884" max="16126" width="9.109375" style="6" hidden="1"/>
    <col min="16127" max="16127" width="28.109375" style="6" customWidth="1"/>
    <col min="16128" max="16128" width="3.6640625" style="6" customWidth="1"/>
    <col min="16129" max="16129" width="31.109375" style="6" customWidth="1"/>
    <col min="16130" max="16130" width="11.109375" style="6" customWidth="1"/>
    <col min="16131" max="16131" width="9.88671875" style="6" customWidth="1"/>
    <col min="16132" max="16132" width="11.33203125" style="6" customWidth="1"/>
    <col min="16133" max="16133" width="3.109375" style="6" customWidth="1"/>
    <col min="16134" max="16134" width="17.33203125" style="6" bestFit="1" customWidth="1"/>
    <col min="16135" max="16135" width="11.33203125" style="6" customWidth="1"/>
    <col min="16136" max="16136" width="22.6640625" style="6" bestFit="1" customWidth="1"/>
    <col min="16137" max="16137" width="9.5546875" style="6" bestFit="1" customWidth="1"/>
    <col min="16138" max="16139" width="9.109375" style="6" customWidth="1"/>
    <col min="16140" max="16141" width="0" style="6" hidden="1"/>
    <col min="16142" max="16384" width="9.109375" style="6" hidden="1"/>
  </cols>
  <sheetData>
    <row r="1" spans="1:12" ht="29.25" customHeight="1" x14ac:dyDescent="0.25">
      <c r="B1" s="3"/>
      <c r="C1" s="3"/>
      <c r="D1" s="3"/>
      <c r="E1" s="3"/>
      <c r="F1" s="3"/>
      <c r="G1" s="3"/>
      <c r="H1" s="3"/>
    </row>
    <row r="2" spans="1:12" s="3" customFormat="1" ht="56.25" customHeight="1" x14ac:dyDescent="0.3">
      <c r="A2" s="4"/>
      <c r="B2" s="679" t="s">
        <v>212</v>
      </c>
      <c r="C2" s="680"/>
      <c r="D2" s="680"/>
      <c r="E2" s="680"/>
      <c r="F2" s="680"/>
      <c r="G2" s="680"/>
      <c r="H2" s="680"/>
      <c r="I2" s="681"/>
    </row>
    <row r="3" spans="1:12" s="3" customFormat="1" ht="13.8" x14ac:dyDescent="0.25">
      <c r="B3" s="47"/>
      <c r="C3" s="48"/>
      <c r="D3" s="48" t="s">
        <v>213</v>
      </c>
      <c r="E3" s="48" t="s">
        <v>213</v>
      </c>
      <c r="F3" s="48" t="s">
        <v>213</v>
      </c>
      <c r="G3" s="48"/>
      <c r="H3" s="49" t="s">
        <v>228</v>
      </c>
      <c r="I3" s="50"/>
    </row>
    <row r="4" spans="1:12" s="3" customFormat="1" ht="13.8" x14ac:dyDescent="0.25">
      <c r="B4" s="47" t="s">
        <v>215</v>
      </c>
      <c r="C4" s="51" t="s">
        <v>216</v>
      </c>
      <c r="D4" s="48" t="s">
        <v>217</v>
      </c>
      <c r="E4" s="48" t="s">
        <v>218</v>
      </c>
      <c r="F4" s="48" t="s">
        <v>219</v>
      </c>
      <c r="G4" s="48" t="s">
        <v>220</v>
      </c>
      <c r="H4" s="49" t="s">
        <v>213</v>
      </c>
      <c r="I4" s="50" t="s">
        <v>214</v>
      </c>
    </row>
    <row r="5" spans="1:12" ht="13.8" x14ac:dyDescent="0.25">
      <c r="B5" s="52"/>
      <c r="C5" s="53"/>
      <c r="D5" s="54"/>
      <c r="E5" s="54"/>
      <c r="F5" s="54"/>
      <c r="G5" s="53"/>
      <c r="H5" s="55" t="s">
        <v>15</v>
      </c>
      <c r="I5" s="56" t="s">
        <v>15</v>
      </c>
      <c r="L5" s="6">
        <v>0.3</v>
      </c>
    </row>
    <row r="6" spans="1:12" ht="13.8" x14ac:dyDescent="0.25">
      <c r="B6" s="57">
        <v>1</v>
      </c>
      <c r="C6" s="58" t="s">
        <v>660</v>
      </c>
      <c r="D6" s="59">
        <v>3.8</v>
      </c>
      <c r="E6" s="59">
        <v>3.7</v>
      </c>
      <c r="F6" s="59">
        <v>3.7</v>
      </c>
      <c r="G6" s="115">
        <v>6098556942</v>
      </c>
      <c r="H6" s="60">
        <v>4.1990365100373941</v>
      </c>
      <c r="I6" s="117">
        <v>25608063258</v>
      </c>
      <c r="L6" s="6">
        <v>90</v>
      </c>
    </row>
    <row r="7" spans="1:12" ht="13.8" x14ac:dyDescent="0.25">
      <c r="B7" s="57">
        <v>2</v>
      </c>
      <c r="C7" s="58" t="s">
        <v>270</v>
      </c>
      <c r="D7" s="59">
        <v>214.5</v>
      </c>
      <c r="E7" s="59">
        <v>214.5</v>
      </c>
      <c r="F7" s="59">
        <v>214.5</v>
      </c>
      <c r="G7" s="115">
        <v>3314344</v>
      </c>
      <c r="H7" s="60">
        <v>214.66827794580163</v>
      </c>
      <c r="I7" s="117">
        <v>711484519</v>
      </c>
      <c r="L7" s="6">
        <v>68</v>
      </c>
    </row>
    <row r="8" spans="1:12" ht="13.8" x14ac:dyDescent="0.25">
      <c r="B8" s="57">
        <v>3</v>
      </c>
      <c r="C8" s="58" t="s">
        <v>275</v>
      </c>
      <c r="D8" s="59">
        <v>57.15</v>
      </c>
      <c r="E8" s="59">
        <v>57.05</v>
      </c>
      <c r="F8" s="59">
        <v>57.1</v>
      </c>
      <c r="G8" s="115">
        <v>7449570</v>
      </c>
      <c r="H8" s="60">
        <v>57.066201270677368</v>
      </c>
      <c r="I8" s="117">
        <v>425118661</v>
      </c>
      <c r="L8" s="6">
        <v>4.25</v>
      </c>
    </row>
    <row r="9" spans="1:12" ht="13.8" x14ac:dyDescent="0.25">
      <c r="B9" s="57">
        <v>4</v>
      </c>
      <c r="C9" s="58" t="s">
        <v>271</v>
      </c>
      <c r="D9" s="59">
        <v>24</v>
      </c>
      <c r="E9" s="59">
        <v>23.95</v>
      </c>
      <c r="F9" s="59">
        <v>24</v>
      </c>
      <c r="G9" s="115">
        <v>14892969</v>
      </c>
      <c r="H9" s="60">
        <v>24.001065966094469</v>
      </c>
      <c r="I9" s="117">
        <v>357447131.39999998</v>
      </c>
      <c r="L9" s="6">
        <v>1.39</v>
      </c>
    </row>
    <row r="10" spans="1:12" ht="13.8" x14ac:dyDescent="0.25">
      <c r="B10" s="57">
        <v>5</v>
      </c>
      <c r="C10" s="58" t="s">
        <v>172</v>
      </c>
      <c r="D10" s="59">
        <v>0</v>
      </c>
      <c r="E10" s="59">
        <v>0</v>
      </c>
      <c r="F10" s="59">
        <v>1200</v>
      </c>
      <c r="G10" s="115">
        <v>291536</v>
      </c>
      <c r="H10" s="60">
        <v>1200.0349613769827</v>
      </c>
      <c r="I10" s="117">
        <v>349853392.5</v>
      </c>
    </row>
    <row r="11" spans="1:12" ht="13.8" x14ac:dyDescent="0.25">
      <c r="B11" s="57">
        <v>6</v>
      </c>
      <c r="C11" s="58" t="s">
        <v>274</v>
      </c>
      <c r="D11" s="59">
        <v>1386</v>
      </c>
      <c r="E11" s="59">
        <v>1386</v>
      </c>
      <c r="F11" s="59">
        <v>1386</v>
      </c>
      <c r="G11" s="115">
        <v>210713</v>
      </c>
      <c r="H11" s="60">
        <v>1388.9029998149142</v>
      </c>
      <c r="I11" s="117">
        <v>292659917.80000001</v>
      </c>
    </row>
    <row r="12" spans="1:12" ht="13.8" x14ac:dyDescent="0.25">
      <c r="B12" s="57">
        <v>7</v>
      </c>
      <c r="C12" s="58" t="s">
        <v>661</v>
      </c>
      <c r="D12" s="59">
        <v>24.3</v>
      </c>
      <c r="E12" s="59">
        <v>24</v>
      </c>
      <c r="F12" s="59">
        <v>24.05</v>
      </c>
      <c r="G12" s="115">
        <v>12099139</v>
      </c>
      <c r="H12" s="60">
        <v>24.017668306810922</v>
      </c>
      <c r="I12" s="117">
        <v>290593107.30000001</v>
      </c>
      <c r="L12" s="6">
        <v>0.44</v>
      </c>
    </row>
    <row r="13" spans="1:12" ht="13.8" x14ac:dyDescent="0.25">
      <c r="B13" s="57">
        <v>8</v>
      </c>
      <c r="C13" s="58" t="s">
        <v>258</v>
      </c>
      <c r="D13" s="59">
        <v>24.75</v>
      </c>
      <c r="E13" s="59">
        <v>24.4</v>
      </c>
      <c r="F13" s="59">
        <v>24.5</v>
      </c>
      <c r="G13" s="115">
        <v>8165463</v>
      </c>
      <c r="H13" s="60">
        <v>24.535232601017235</v>
      </c>
      <c r="I13" s="117">
        <v>200341534</v>
      </c>
      <c r="L13" s="6">
        <v>1.95</v>
      </c>
    </row>
    <row r="14" spans="1:12" ht="13.8" x14ac:dyDescent="0.25">
      <c r="B14" s="57">
        <v>9</v>
      </c>
      <c r="C14" s="58" t="s">
        <v>276</v>
      </c>
      <c r="D14" s="59">
        <v>12</v>
      </c>
      <c r="E14" s="59">
        <v>11.85</v>
      </c>
      <c r="F14" s="59">
        <v>12</v>
      </c>
      <c r="G14" s="115">
        <v>16497423</v>
      </c>
      <c r="H14" s="60">
        <v>11.938300878870598</v>
      </c>
      <c r="I14" s="117">
        <v>196951199.5</v>
      </c>
      <c r="L14" s="6">
        <v>7.1</v>
      </c>
    </row>
    <row r="15" spans="1:12" ht="13.8" x14ac:dyDescent="0.25">
      <c r="B15" s="57">
        <v>10</v>
      </c>
      <c r="C15" s="58" t="s">
        <v>662</v>
      </c>
      <c r="D15" s="59">
        <v>35.5</v>
      </c>
      <c r="E15" s="59">
        <v>35.5</v>
      </c>
      <c r="F15" s="59">
        <v>35.5</v>
      </c>
      <c r="G15" s="115">
        <v>5530919</v>
      </c>
      <c r="H15" s="60">
        <v>35.321158472940937</v>
      </c>
      <c r="I15" s="117">
        <v>195358466.5</v>
      </c>
      <c r="L15" s="6">
        <v>0.78</v>
      </c>
    </row>
    <row r="16" spans="1:12" ht="13.8" x14ac:dyDescent="0.25">
      <c r="B16" s="61"/>
      <c r="C16" s="62"/>
      <c r="D16" s="63"/>
      <c r="E16" s="63"/>
      <c r="F16" s="63"/>
      <c r="G16" s="116">
        <v>6167009018</v>
      </c>
      <c r="H16" s="64"/>
      <c r="I16" s="118">
        <v>28627871187</v>
      </c>
    </row>
    <row r="18" spans="3:12" x14ac:dyDescent="0.25">
      <c r="C18" s="18"/>
      <c r="D18" s="19"/>
      <c r="E18" s="19"/>
      <c r="F18" s="19"/>
      <c r="G18" s="20"/>
      <c r="L18" s="6">
        <v>1.03</v>
      </c>
    </row>
    <row r="19" spans="3:12" x14ac:dyDescent="0.25">
      <c r="D19" s="3"/>
      <c r="E19" s="3"/>
      <c r="F19" s="3"/>
      <c r="G19" s="3"/>
      <c r="L19" s="6">
        <v>17</v>
      </c>
    </row>
    <row r="20" spans="3:12" x14ac:dyDescent="0.25">
      <c r="L20" s="6">
        <v>0.72</v>
      </c>
    </row>
    <row r="21" spans="3:12" x14ac:dyDescent="0.25">
      <c r="L21" s="6">
        <v>61.75</v>
      </c>
    </row>
    <row r="22" spans="3:12" x14ac:dyDescent="0.25">
      <c r="L22" s="6">
        <v>36.6</v>
      </c>
    </row>
    <row r="23" spans="3:12" x14ac:dyDescent="0.25">
      <c r="L23" s="6">
        <v>5.0999999999999996</v>
      </c>
    </row>
    <row r="26" spans="3:12" x14ac:dyDescent="0.25">
      <c r="L26" s="6">
        <v>0.5</v>
      </c>
    </row>
    <row r="27" spans="3:12" x14ac:dyDescent="0.25">
      <c r="L27" s="6">
        <v>0.85</v>
      </c>
    </row>
    <row r="28" spans="3:12" x14ac:dyDescent="0.25">
      <c r="L28" s="6">
        <v>0.81</v>
      </c>
    </row>
    <row r="29" spans="3:12" x14ac:dyDescent="0.25">
      <c r="L29" s="6">
        <v>17.649999999999999</v>
      </c>
    </row>
    <row r="30" spans="3:12" x14ac:dyDescent="0.25">
      <c r="L30" s="6">
        <v>4.55</v>
      </c>
    </row>
    <row r="31" spans="3:12" x14ac:dyDescent="0.25">
      <c r="L31" s="6">
        <v>47</v>
      </c>
    </row>
    <row r="32" spans="3:12" x14ac:dyDescent="0.25">
      <c r="C32" s="3"/>
      <c r="D32" s="3"/>
      <c r="E32" s="3"/>
      <c r="F32" s="3"/>
      <c r="L32" s="6">
        <v>2.0299999999999998</v>
      </c>
    </row>
    <row r="33" spans="7:12" x14ac:dyDescent="0.25">
      <c r="G33" s="6" t="s">
        <v>221</v>
      </c>
      <c r="L33" s="6">
        <v>7.75</v>
      </c>
    </row>
    <row r="34" spans="7:12" x14ac:dyDescent="0.25">
      <c r="L34" s="6">
        <v>1350</v>
      </c>
    </row>
    <row r="35" spans="7:12" x14ac:dyDescent="0.25">
      <c r="L35" s="6">
        <v>16.399999999999999</v>
      </c>
    </row>
    <row r="36" spans="7:12" x14ac:dyDescent="0.25">
      <c r="L36" s="6">
        <v>26</v>
      </c>
    </row>
    <row r="37" spans="7:12" x14ac:dyDescent="0.25">
      <c r="L37" s="6">
        <v>1.0900000000000001</v>
      </c>
    </row>
    <row r="38" spans="7:12" x14ac:dyDescent="0.25">
      <c r="L38" s="6">
        <v>0.36</v>
      </c>
    </row>
    <row r="39" spans="7:12" x14ac:dyDescent="0.25">
      <c r="L39" s="6">
        <v>13</v>
      </c>
    </row>
    <row r="40" spans="7:12" x14ac:dyDescent="0.25">
      <c r="L40" s="6">
        <v>4.9000000000000004</v>
      </c>
    </row>
    <row r="41" spans="7:12" x14ac:dyDescent="0.25">
      <c r="L41" s="6">
        <v>9.9</v>
      </c>
    </row>
    <row r="42" spans="7:12" x14ac:dyDescent="0.25">
      <c r="L42" s="6">
        <v>50</v>
      </c>
    </row>
    <row r="43" spans="7:12" x14ac:dyDescent="0.25">
      <c r="L43" s="6">
        <v>16.2</v>
      </c>
    </row>
    <row r="44" spans="7:12" x14ac:dyDescent="0.25">
      <c r="L44" s="6">
        <v>7.35</v>
      </c>
    </row>
    <row r="45" spans="7:12" x14ac:dyDescent="0.25">
      <c r="L45" s="6">
        <v>4.1500000000000004</v>
      </c>
    </row>
    <row r="46" spans="7:12" x14ac:dyDescent="0.25">
      <c r="L46" s="6">
        <v>11.65</v>
      </c>
    </row>
    <row r="49" spans="12:12" x14ac:dyDescent="0.25">
      <c r="L49" s="6">
        <v>7.2</v>
      </c>
    </row>
    <row r="50" spans="12:12" x14ac:dyDescent="0.25">
      <c r="L50" s="6">
        <v>4.7</v>
      </c>
    </row>
    <row r="51" spans="12:12" x14ac:dyDescent="0.25">
      <c r="L51" s="6">
        <v>2.66</v>
      </c>
    </row>
    <row r="52" spans="12:12" x14ac:dyDescent="0.25">
      <c r="L52" s="6">
        <v>2.1</v>
      </c>
    </row>
    <row r="53" spans="12:12" x14ac:dyDescent="0.25">
      <c r="L53" s="6">
        <v>6.9</v>
      </c>
    </row>
    <row r="54" spans="12:12" x14ac:dyDescent="0.25">
      <c r="L54" s="6">
        <v>28</v>
      </c>
    </row>
    <row r="55" spans="12:12" x14ac:dyDescent="0.25">
      <c r="L55" s="6">
        <v>0.54</v>
      </c>
    </row>
    <row r="56" spans="12:12" x14ac:dyDescent="0.25">
      <c r="L56" s="6">
        <v>38.700000000000003</v>
      </c>
    </row>
    <row r="57" spans="12:12" x14ac:dyDescent="0.25">
      <c r="L57" s="6">
        <v>1.6</v>
      </c>
    </row>
    <row r="58" spans="12:12" x14ac:dyDescent="0.25">
      <c r="L58" s="6">
        <v>1.43</v>
      </c>
    </row>
    <row r="59" spans="12:12" x14ac:dyDescent="0.25">
      <c r="L59" s="6">
        <v>6.8</v>
      </c>
    </row>
    <row r="60" spans="12:12" x14ac:dyDescent="0.25">
      <c r="L60" s="6">
        <v>4.55</v>
      </c>
    </row>
    <row r="61" spans="12:12" x14ac:dyDescent="0.25">
      <c r="L61" s="6">
        <v>0.53</v>
      </c>
    </row>
    <row r="62" spans="12:12" x14ac:dyDescent="0.25">
      <c r="L62" s="6">
        <v>0.55000000000000004</v>
      </c>
    </row>
    <row r="63" spans="12:12" x14ac:dyDescent="0.25">
      <c r="L63" s="6">
        <v>20.3</v>
      </c>
    </row>
    <row r="64" spans="12:12" x14ac:dyDescent="0.25">
      <c r="L64" s="6">
        <v>0.2</v>
      </c>
    </row>
    <row r="65" spans="12:268" x14ac:dyDescent="0.25">
      <c r="L65" s="6">
        <v>0.95</v>
      </c>
    </row>
    <row r="66" spans="12:268" x14ac:dyDescent="0.25">
      <c r="L66" s="6">
        <v>2.2000000000000002</v>
      </c>
    </row>
    <row r="67" spans="12:268" x14ac:dyDescent="0.25">
      <c r="L67" s="6">
        <v>0.45</v>
      </c>
    </row>
    <row r="68" spans="12:268" x14ac:dyDescent="0.25">
      <c r="L68" s="6">
        <v>0.2</v>
      </c>
    </row>
    <row r="69" spans="12:268" x14ac:dyDescent="0.25">
      <c r="L69" s="6">
        <v>0.2</v>
      </c>
    </row>
    <row r="70" spans="12:268" x14ac:dyDescent="0.25">
      <c r="L70" s="6">
        <v>0.27</v>
      </c>
    </row>
    <row r="71" spans="12:268" x14ac:dyDescent="0.25">
      <c r="L71" s="6">
        <v>0.38</v>
      </c>
    </row>
    <row r="72" spans="12:268" x14ac:dyDescent="0.25">
      <c r="L72" s="6">
        <v>0.42</v>
      </c>
    </row>
    <row r="73" spans="12:268" x14ac:dyDescent="0.25">
      <c r="L73" s="6">
        <v>0.46</v>
      </c>
    </row>
    <row r="74" spans="12:268" x14ac:dyDescent="0.25">
      <c r="L74" s="6">
        <v>0.83</v>
      </c>
    </row>
    <row r="75" spans="12:268" x14ac:dyDescent="0.25">
      <c r="L75" s="6">
        <v>0.27</v>
      </c>
    </row>
    <row r="76" spans="12:268" x14ac:dyDescent="0.25">
      <c r="L76" s="6">
        <v>1.72</v>
      </c>
    </row>
    <row r="77" spans="12:268" x14ac:dyDescent="0.25">
      <c r="L77" s="6">
        <v>0.2</v>
      </c>
    </row>
    <row r="78" spans="12:268" x14ac:dyDescent="0.25">
      <c r="L78" s="6">
        <v>0.41</v>
      </c>
    </row>
    <row r="79" spans="12:268" ht="14.4" x14ac:dyDescent="0.3">
      <c r="L79" s="6">
        <v>0.22</v>
      </c>
      <c r="JH79" s="2"/>
    </row>
    <row r="80" spans="12:268" x14ac:dyDescent="0.25">
      <c r="L80" s="6">
        <v>0.2</v>
      </c>
    </row>
    <row r="81" spans="12:12" x14ac:dyDescent="0.25">
      <c r="L81" s="6">
        <v>0.48</v>
      </c>
    </row>
    <row r="82" spans="12:12" x14ac:dyDescent="0.25">
      <c r="L82" s="6">
        <v>0.2</v>
      </c>
    </row>
    <row r="83" spans="12:12" x14ac:dyDescent="0.25">
      <c r="L83" s="6">
        <v>0.2</v>
      </c>
    </row>
    <row r="84" spans="12:12" x14ac:dyDescent="0.25">
      <c r="L84" s="6">
        <v>0.2</v>
      </c>
    </row>
    <row r="85" spans="12:12" x14ac:dyDescent="0.25">
      <c r="L85" s="6">
        <v>0.39</v>
      </c>
    </row>
    <row r="86" spans="12:12" x14ac:dyDescent="0.25">
      <c r="L86" s="6">
        <v>0.95</v>
      </c>
    </row>
    <row r="87" spans="12:12" x14ac:dyDescent="0.25">
      <c r="L87" s="6">
        <v>0.5</v>
      </c>
    </row>
    <row r="88" spans="12:12" x14ac:dyDescent="0.25">
      <c r="L88" s="6">
        <v>1.32</v>
      </c>
    </row>
    <row r="89" spans="12:12" x14ac:dyDescent="0.25">
      <c r="L89" s="6">
        <v>3.02</v>
      </c>
    </row>
    <row r="90" spans="12:12" x14ac:dyDescent="0.25">
      <c r="L90" s="6">
        <v>0.2</v>
      </c>
    </row>
    <row r="91" spans="12:12" x14ac:dyDescent="0.25">
      <c r="L91" s="6">
        <v>5</v>
      </c>
    </row>
    <row r="92" spans="12:12" x14ac:dyDescent="0.25">
      <c r="L92" s="6">
        <v>5.75</v>
      </c>
    </row>
    <row r="93" spans="12:12" x14ac:dyDescent="0.25">
      <c r="L93" s="6">
        <v>0.2</v>
      </c>
    </row>
    <row r="94" spans="12:12" x14ac:dyDescent="0.25">
      <c r="L94" s="6">
        <v>552.20000000000005</v>
      </c>
    </row>
    <row r="95" spans="12:12" x14ac:dyDescent="0.25">
      <c r="L95" s="6">
        <v>0.23</v>
      </c>
    </row>
    <row r="96" spans="12:12" x14ac:dyDescent="0.25">
      <c r="L96" s="6">
        <v>4.5</v>
      </c>
    </row>
    <row r="99" spans="12:12" x14ac:dyDescent="0.25">
      <c r="L99" s="6">
        <v>5.4</v>
      </c>
    </row>
    <row r="100" spans="12:12" x14ac:dyDescent="0.25">
      <c r="L100" s="6">
        <v>0.28000000000000003</v>
      </c>
    </row>
    <row r="101" spans="12:12" x14ac:dyDescent="0.25">
      <c r="L101" s="6">
        <v>0.49</v>
      </c>
    </row>
    <row r="102" spans="12:12" x14ac:dyDescent="0.25">
      <c r="L102" s="6">
        <v>4.28</v>
      </c>
    </row>
    <row r="103" spans="12:12" x14ac:dyDescent="0.25">
      <c r="L103" s="6">
        <v>6</v>
      </c>
    </row>
    <row r="104" spans="12:12" x14ac:dyDescent="0.25">
      <c r="L104" s="6">
        <v>3.21</v>
      </c>
    </row>
    <row r="105" spans="12:12" x14ac:dyDescent="0.25">
      <c r="L105" s="6">
        <v>1.5</v>
      </c>
    </row>
    <row r="106" spans="12:12" x14ac:dyDescent="0.25">
      <c r="L106" s="6">
        <v>1.0900000000000001</v>
      </c>
    </row>
    <row r="109" spans="12:12" x14ac:dyDescent="0.25">
      <c r="L109" s="6">
        <v>0.2</v>
      </c>
    </row>
    <row r="110" spans="12:12" x14ac:dyDescent="0.25">
      <c r="L110" s="6">
        <v>0.2</v>
      </c>
    </row>
    <row r="111" spans="12:12" x14ac:dyDescent="0.25">
      <c r="L111" s="6">
        <v>1.1299999999999999</v>
      </c>
    </row>
    <row r="112" spans="12:12" x14ac:dyDescent="0.25">
      <c r="L112" s="6">
        <v>1.96</v>
      </c>
    </row>
    <row r="113" spans="12:12" x14ac:dyDescent="0.25">
      <c r="L113" s="6">
        <v>0.64</v>
      </c>
    </row>
    <row r="114" spans="12:12" x14ac:dyDescent="0.25">
      <c r="L114" s="6">
        <v>0.2</v>
      </c>
    </row>
    <row r="115" spans="12:12" x14ac:dyDescent="0.25">
      <c r="L115" s="6">
        <v>2.06</v>
      </c>
    </row>
    <row r="116" spans="12:12" x14ac:dyDescent="0.25">
      <c r="L116" s="6">
        <v>157</v>
      </c>
    </row>
    <row r="117" spans="12:12" x14ac:dyDescent="0.25">
      <c r="L117" s="6">
        <v>601</v>
      </c>
    </row>
    <row r="120" spans="12:12" x14ac:dyDescent="0.25">
      <c r="L120" s="6">
        <v>62.5</v>
      </c>
    </row>
    <row r="121" spans="12:12" x14ac:dyDescent="0.25">
      <c r="L121" s="6">
        <v>6.05</v>
      </c>
    </row>
    <row r="122" spans="12:12" x14ac:dyDescent="0.25">
      <c r="L122" s="6">
        <v>18</v>
      </c>
    </row>
    <row r="123" spans="12:12" x14ac:dyDescent="0.25">
      <c r="L123" s="6">
        <v>67.3</v>
      </c>
    </row>
    <row r="124" spans="12:12" x14ac:dyDescent="0.25">
      <c r="L124" s="6">
        <v>204</v>
      </c>
    </row>
    <row r="125" spans="12:12" x14ac:dyDescent="0.25">
      <c r="L125" s="6">
        <v>0.41</v>
      </c>
    </row>
    <row r="126" spans="12:12" x14ac:dyDescent="0.25">
      <c r="L126" s="6">
        <v>9.4</v>
      </c>
    </row>
    <row r="127" spans="12:12" x14ac:dyDescent="0.25">
      <c r="L127" s="6">
        <v>19.5</v>
      </c>
    </row>
    <row r="128" spans="12:12" x14ac:dyDescent="0.25">
      <c r="L128" s="6">
        <v>1.81</v>
      </c>
    </row>
    <row r="129" spans="12:12" x14ac:dyDescent="0.25">
      <c r="L129" s="6">
        <v>6.05</v>
      </c>
    </row>
    <row r="132" spans="12:12" x14ac:dyDescent="0.25">
      <c r="L132" s="6">
        <v>7.7</v>
      </c>
    </row>
    <row r="133" spans="12:12" x14ac:dyDescent="0.25">
      <c r="L133" s="6">
        <v>7.2</v>
      </c>
    </row>
    <row r="134" spans="12:12" x14ac:dyDescent="0.25">
      <c r="L134" s="6">
        <v>0.2</v>
      </c>
    </row>
    <row r="135" spans="12:12" x14ac:dyDescent="0.25">
      <c r="L135" s="6">
        <v>0.35</v>
      </c>
    </row>
    <row r="136" spans="12:12" x14ac:dyDescent="0.25">
      <c r="L136" s="6">
        <v>0.2</v>
      </c>
    </row>
    <row r="137" spans="12:12" x14ac:dyDescent="0.25">
      <c r="L137" s="6">
        <v>2.91</v>
      </c>
    </row>
    <row r="140" spans="12:12" x14ac:dyDescent="0.25">
      <c r="L140" s="6">
        <v>2.65</v>
      </c>
    </row>
    <row r="141" spans="12:12" x14ac:dyDescent="0.25">
      <c r="L141" s="6">
        <v>0.25</v>
      </c>
    </row>
    <row r="142" spans="12:12" x14ac:dyDescent="0.25">
      <c r="L142" s="6">
        <v>402.3</v>
      </c>
    </row>
    <row r="143" spans="12:12" x14ac:dyDescent="0.25">
      <c r="L143" s="6">
        <v>10.9</v>
      </c>
    </row>
    <row r="144" spans="12:12" x14ac:dyDescent="0.25">
      <c r="L144" s="6">
        <v>17</v>
      </c>
    </row>
    <row r="145" spans="12:12" x14ac:dyDescent="0.25">
      <c r="L145" s="6">
        <v>4.62</v>
      </c>
    </row>
    <row r="146" spans="12:12" x14ac:dyDescent="0.25">
      <c r="L146" s="6">
        <v>13.5</v>
      </c>
    </row>
    <row r="147" spans="12:12" x14ac:dyDescent="0.25">
      <c r="L147" s="6">
        <v>130</v>
      </c>
    </row>
    <row r="150" spans="12:12" x14ac:dyDescent="0.25">
      <c r="L150" s="6">
        <v>0.2</v>
      </c>
    </row>
    <row r="151" spans="12:12" x14ac:dyDescent="0.25">
      <c r="L151" s="6">
        <v>1.62</v>
      </c>
    </row>
    <row r="152" spans="12:12" x14ac:dyDescent="0.25">
      <c r="L152" s="6">
        <v>2.02</v>
      </c>
    </row>
    <row r="153" spans="12:12" x14ac:dyDescent="0.25">
      <c r="L153" s="6">
        <v>2.88</v>
      </c>
    </row>
    <row r="154" spans="12:12" x14ac:dyDescent="0.25">
      <c r="L154" s="6">
        <v>0.2</v>
      </c>
    </row>
    <row r="155" spans="12:12" x14ac:dyDescent="0.25">
      <c r="L155" s="6">
        <v>3</v>
      </c>
    </row>
    <row r="156" spans="12:12" x14ac:dyDescent="0.25">
      <c r="L156" s="6">
        <v>0.72</v>
      </c>
    </row>
    <row r="157" spans="12:12" x14ac:dyDescent="0.25">
      <c r="L157" s="6">
        <v>4.0599999999999996</v>
      </c>
    </row>
    <row r="158" spans="12:12" x14ac:dyDescent="0.25">
      <c r="L158" s="6">
        <v>0.2</v>
      </c>
    </row>
    <row r="159" spans="12:12" x14ac:dyDescent="0.25">
      <c r="L159" s="6">
        <v>2.2000000000000002</v>
      </c>
    </row>
    <row r="160" spans="12:12" x14ac:dyDescent="0.25">
      <c r="L160" s="6">
        <v>0.91</v>
      </c>
    </row>
    <row r="161" spans="12:12" x14ac:dyDescent="0.25">
      <c r="L161" s="6">
        <v>2.84</v>
      </c>
    </row>
    <row r="162" spans="12:12" x14ac:dyDescent="0.25">
      <c r="L162" s="6">
        <v>3.25</v>
      </c>
    </row>
    <row r="163" spans="12:12" x14ac:dyDescent="0.25">
      <c r="L163" s="6">
        <v>0.2</v>
      </c>
    </row>
    <row r="164" spans="12:12" x14ac:dyDescent="0.25">
      <c r="L164" s="6">
        <v>0.3</v>
      </c>
    </row>
    <row r="165" spans="12:12" x14ac:dyDescent="0.25">
      <c r="L165" s="6">
        <v>0.92</v>
      </c>
    </row>
    <row r="166" spans="12:12" x14ac:dyDescent="0.25">
      <c r="L166" s="6">
        <v>1.62</v>
      </c>
    </row>
    <row r="167" spans="12:12" x14ac:dyDescent="0.25">
      <c r="L167" s="6">
        <v>1.07</v>
      </c>
    </row>
    <row r="168" spans="12:12" x14ac:dyDescent="0.25">
      <c r="L168" s="6">
        <v>0.28000000000000003</v>
      </c>
    </row>
    <row r="169" spans="12:12" x14ac:dyDescent="0.25">
      <c r="L169" s="6">
        <v>1.76</v>
      </c>
    </row>
    <row r="170" spans="12:12" x14ac:dyDescent="0.25">
      <c r="L170" s="6">
        <v>4.1900000000000004</v>
      </c>
    </row>
  </sheetData>
  <mergeCells count="1">
    <mergeCell ref="B2:I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JA149" sqref="JA149"/>
    </sheetView>
  </sheetViews>
  <sheetFormatPr defaultColWidth="0" defaultRowHeight="14.4" x14ac:dyDescent="0.3"/>
  <cols>
    <col min="1" max="1" width="29.44140625" style="3" customWidth="1"/>
    <col min="2" max="2" width="2" style="2" customWidth="1"/>
    <col min="3" max="3" width="31.44140625" style="2" bestFit="1" customWidth="1"/>
    <col min="4" max="4" width="11.21875" style="2" bestFit="1" customWidth="1"/>
    <col min="5" max="5" width="17.44140625" style="2" bestFit="1" customWidth="1"/>
    <col min="6" max="6" width="32.77734375" style="2" bestFit="1" customWidth="1"/>
    <col min="7" max="7" width="11.21875" style="2" bestFit="1" customWidth="1"/>
    <col min="8" max="8" width="22" style="2" bestFit="1" customWidth="1"/>
    <col min="9" max="9" width="1" style="2" customWidth="1"/>
    <col min="10" max="12" width="9.109375" style="2" customWidth="1"/>
    <col min="13" max="256" width="9.109375" style="1" hidden="1"/>
    <col min="257" max="257" width="28.109375" style="1" customWidth="1"/>
    <col min="258" max="258" width="3" style="1" customWidth="1"/>
    <col min="259" max="259" width="32.5546875" style="1" bestFit="1" customWidth="1"/>
    <col min="260" max="261" width="11.5546875" style="1" customWidth="1"/>
    <col min="262" max="262" width="18.88671875" style="1" bestFit="1" customWidth="1"/>
    <col min="263" max="263" width="16.109375" style="1" bestFit="1" customWidth="1"/>
    <col min="264" max="264" width="19.5546875" style="1" customWidth="1"/>
    <col min="265" max="265" width="1" style="1" customWidth="1"/>
    <col min="266" max="268" width="9.109375" style="1" customWidth="1"/>
    <col min="269" max="512" width="9.109375" style="1" hidden="1"/>
    <col min="513" max="513" width="28.109375" style="1" customWidth="1"/>
    <col min="514" max="514" width="3" style="1" customWidth="1"/>
    <col min="515" max="515" width="32.5546875" style="1" bestFit="1" customWidth="1"/>
    <col min="516" max="517" width="11.5546875" style="1" customWidth="1"/>
    <col min="518" max="518" width="18.88671875" style="1" bestFit="1" customWidth="1"/>
    <col min="519" max="519" width="16.109375" style="1" bestFit="1" customWidth="1"/>
    <col min="520" max="520" width="19.5546875" style="1" customWidth="1"/>
    <col min="521" max="521" width="1" style="1" customWidth="1"/>
    <col min="522" max="524" width="9.109375" style="1" customWidth="1"/>
    <col min="525" max="768" width="9.109375" style="1" hidden="1"/>
    <col min="769" max="769" width="28.109375" style="1" customWidth="1"/>
    <col min="770" max="770" width="3" style="1" customWidth="1"/>
    <col min="771" max="771" width="32.5546875" style="1" bestFit="1" customWidth="1"/>
    <col min="772" max="773" width="11.5546875" style="1" customWidth="1"/>
    <col min="774" max="774" width="18.88671875" style="1" bestFit="1" customWidth="1"/>
    <col min="775" max="775" width="16.109375" style="1" bestFit="1" customWidth="1"/>
    <col min="776" max="776" width="19.5546875" style="1" customWidth="1"/>
    <col min="777" max="777" width="1" style="1" customWidth="1"/>
    <col min="778" max="780" width="9.109375" style="1" customWidth="1"/>
    <col min="781" max="1024" width="9.109375" style="1" hidden="1"/>
    <col min="1025" max="1025" width="28.109375" style="1" customWidth="1"/>
    <col min="1026" max="1026" width="3" style="1" customWidth="1"/>
    <col min="1027" max="1027" width="32.5546875" style="1" bestFit="1" customWidth="1"/>
    <col min="1028" max="1029" width="11.5546875" style="1" customWidth="1"/>
    <col min="1030" max="1030" width="18.88671875" style="1" bestFit="1" customWidth="1"/>
    <col min="1031" max="1031" width="16.109375" style="1" bestFit="1" customWidth="1"/>
    <col min="1032" max="1032" width="19.5546875" style="1" customWidth="1"/>
    <col min="1033" max="1033" width="1" style="1" customWidth="1"/>
    <col min="1034" max="1036" width="9.109375" style="1" customWidth="1"/>
    <col min="1037" max="1280" width="9.109375" style="1" hidden="1"/>
    <col min="1281" max="1281" width="28.109375" style="1" customWidth="1"/>
    <col min="1282" max="1282" width="3" style="1" customWidth="1"/>
    <col min="1283" max="1283" width="32.5546875" style="1" bestFit="1" customWidth="1"/>
    <col min="1284" max="1285" width="11.5546875" style="1" customWidth="1"/>
    <col min="1286" max="1286" width="18.88671875" style="1" bestFit="1" customWidth="1"/>
    <col min="1287" max="1287" width="16.109375" style="1" bestFit="1" customWidth="1"/>
    <col min="1288" max="1288" width="19.5546875" style="1" customWidth="1"/>
    <col min="1289" max="1289" width="1" style="1" customWidth="1"/>
    <col min="1290" max="1292" width="9.109375" style="1" customWidth="1"/>
    <col min="1293" max="1536" width="9.109375" style="1" hidden="1"/>
    <col min="1537" max="1537" width="28.109375" style="1" customWidth="1"/>
    <col min="1538" max="1538" width="3" style="1" customWidth="1"/>
    <col min="1539" max="1539" width="32.5546875" style="1" bestFit="1" customWidth="1"/>
    <col min="1540" max="1541" width="11.5546875" style="1" customWidth="1"/>
    <col min="1542" max="1542" width="18.88671875" style="1" bestFit="1" customWidth="1"/>
    <col min="1543" max="1543" width="16.109375" style="1" bestFit="1" customWidth="1"/>
    <col min="1544" max="1544" width="19.5546875" style="1" customWidth="1"/>
    <col min="1545" max="1545" width="1" style="1" customWidth="1"/>
    <col min="1546" max="1548" width="9.109375" style="1" customWidth="1"/>
    <col min="1549" max="1792" width="9.109375" style="1" hidden="1"/>
    <col min="1793" max="1793" width="28.109375" style="1" customWidth="1"/>
    <col min="1794" max="1794" width="3" style="1" customWidth="1"/>
    <col min="1795" max="1795" width="32.5546875" style="1" bestFit="1" customWidth="1"/>
    <col min="1796" max="1797" width="11.5546875" style="1" customWidth="1"/>
    <col min="1798" max="1798" width="18.88671875" style="1" bestFit="1" customWidth="1"/>
    <col min="1799" max="1799" width="16.109375" style="1" bestFit="1" customWidth="1"/>
    <col min="1800" max="1800" width="19.5546875" style="1" customWidth="1"/>
    <col min="1801" max="1801" width="1" style="1" customWidth="1"/>
    <col min="1802" max="1804" width="9.109375" style="1" customWidth="1"/>
    <col min="1805" max="2048" width="9.109375" style="1" hidden="1"/>
    <col min="2049" max="2049" width="28.109375" style="1" customWidth="1"/>
    <col min="2050" max="2050" width="3" style="1" customWidth="1"/>
    <col min="2051" max="2051" width="32.5546875" style="1" bestFit="1" customWidth="1"/>
    <col min="2052" max="2053" width="11.5546875" style="1" customWidth="1"/>
    <col min="2054" max="2054" width="18.88671875" style="1" bestFit="1" customWidth="1"/>
    <col min="2055" max="2055" width="16.109375" style="1" bestFit="1" customWidth="1"/>
    <col min="2056" max="2056" width="19.5546875" style="1" customWidth="1"/>
    <col min="2057" max="2057" width="1" style="1" customWidth="1"/>
    <col min="2058" max="2060" width="9.109375" style="1" customWidth="1"/>
    <col min="2061" max="2304" width="9.109375" style="1" hidden="1"/>
    <col min="2305" max="2305" width="28.109375" style="1" customWidth="1"/>
    <col min="2306" max="2306" width="3" style="1" customWidth="1"/>
    <col min="2307" max="2307" width="32.5546875" style="1" bestFit="1" customWidth="1"/>
    <col min="2308" max="2309" width="11.5546875" style="1" customWidth="1"/>
    <col min="2310" max="2310" width="18.88671875" style="1" bestFit="1" customWidth="1"/>
    <col min="2311" max="2311" width="16.109375" style="1" bestFit="1" customWidth="1"/>
    <col min="2312" max="2312" width="19.5546875" style="1" customWidth="1"/>
    <col min="2313" max="2313" width="1" style="1" customWidth="1"/>
    <col min="2314" max="2316" width="9.109375" style="1" customWidth="1"/>
    <col min="2317" max="2560" width="9.109375" style="1" hidden="1"/>
    <col min="2561" max="2561" width="28.109375" style="1" customWidth="1"/>
    <col min="2562" max="2562" width="3" style="1" customWidth="1"/>
    <col min="2563" max="2563" width="32.5546875" style="1" bestFit="1" customWidth="1"/>
    <col min="2564" max="2565" width="11.5546875" style="1" customWidth="1"/>
    <col min="2566" max="2566" width="18.88671875" style="1" bestFit="1" customWidth="1"/>
    <col min="2567" max="2567" width="16.109375" style="1" bestFit="1" customWidth="1"/>
    <col min="2568" max="2568" width="19.5546875" style="1" customWidth="1"/>
    <col min="2569" max="2569" width="1" style="1" customWidth="1"/>
    <col min="2570" max="2572" width="9.109375" style="1" customWidth="1"/>
    <col min="2573" max="2816" width="9.109375" style="1" hidden="1"/>
    <col min="2817" max="2817" width="28.109375" style="1" customWidth="1"/>
    <col min="2818" max="2818" width="3" style="1" customWidth="1"/>
    <col min="2819" max="2819" width="32.5546875" style="1" bestFit="1" customWidth="1"/>
    <col min="2820" max="2821" width="11.5546875" style="1" customWidth="1"/>
    <col min="2822" max="2822" width="18.88671875" style="1" bestFit="1" customWidth="1"/>
    <col min="2823" max="2823" width="16.109375" style="1" bestFit="1" customWidth="1"/>
    <col min="2824" max="2824" width="19.5546875" style="1" customWidth="1"/>
    <col min="2825" max="2825" width="1" style="1" customWidth="1"/>
    <col min="2826" max="2828" width="9.109375" style="1" customWidth="1"/>
    <col min="2829" max="3072" width="9.109375" style="1" hidden="1"/>
    <col min="3073" max="3073" width="28.109375" style="1" customWidth="1"/>
    <col min="3074" max="3074" width="3" style="1" customWidth="1"/>
    <col min="3075" max="3075" width="32.5546875" style="1" bestFit="1" customWidth="1"/>
    <col min="3076" max="3077" width="11.5546875" style="1" customWidth="1"/>
    <col min="3078" max="3078" width="18.88671875" style="1" bestFit="1" customWidth="1"/>
    <col min="3079" max="3079" width="16.109375" style="1" bestFit="1" customWidth="1"/>
    <col min="3080" max="3080" width="19.5546875" style="1" customWidth="1"/>
    <col min="3081" max="3081" width="1" style="1" customWidth="1"/>
    <col min="3082" max="3084" width="9.109375" style="1" customWidth="1"/>
    <col min="3085" max="3328" width="9.109375" style="1" hidden="1"/>
    <col min="3329" max="3329" width="28.109375" style="1" customWidth="1"/>
    <col min="3330" max="3330" width="3" style="1" customWidth="1"/>
    <col min="3331" max="3331" width="32.5546875" style="1" bestFit="1" customWidth="1"/>
    <col min="3332" max="3333" width="11.5546875" style="1" customWidth="1"/>
    <col min="3334" max="3334" width="18.88671875" style="1" bestFit="1" customWidth="1"/>
    <col min="3335" max="3335" width="16.109375" style="1" bestFit="1" customWidth="1"/>
    <col min="3336" max="3336" width="19.5546875" style="1" customWidth="1"/>
    <col min="3337" max="3337" width="1" style="1" customWidth="1"/>
    <col min="3338" max="3340" width="9.109375" style="1" customWidth="1"/>
    <col min="3341" max="3584" width="9.109375" style="1" hidden="1"/>
    <col min="3585" max="3585" width="28.109375" style="1" customWidth="1"/>
    <col min="3586" max="3586" width="3" style="1" customWidth="1"/>
    <col min="3587" max="3587" width="32.5546875" style="1" bestFit="1" customWidth="1"/>
    <col min="3588" max="3589" width="11.5546875" style="1" customWidth="1"/>
    <col min="3590" max="3590" width="18.88671875" style="1" bestFit="1" customWidth="1"/>
    <col min="3591" max="3591" width="16.109375" style="1" bestFit="1" customWidth="1"/>
    <col min="3592" max="3592" width="19.5546875" style="1" customWidth="1"/>
    <col min="3593" max="3593" width="1" style="1" customWidth="1"/>
    <col min="3594" max="3596" width="9.109375" style="1" customWidth="1"/>
    <col min="3597" max="3840" width="9.109375" style="1" hidden="1"/>
    <col min="3841" max="3841" width="28.109375" style="1" customWidth="1"/>
    <col min="3842" max="3842" width="3" style="1" customWidth="1"/>
    <col min="3843" max="3843" width="32.5546875" style="1" bestFit="1" customWidth="1"/>
    <col min="3844" max="3845" width="11.5546875" style="1" customWidth="1"/>
    <col min="3846" max="3846" width="18.88671875" style="1" bestFit="1" customWidth="1"/>
    <col min="3847" max="3847" width="16.109375" style="1" bestFit="1" customWidth="1"/>
    <col min="3848" max="3848" width="19.5546875" style="1" customWidth="1"/>
    <col min="3849" max="3849" width="1" style="1" customWidth="1"/>
    <col min="3850" max="3852" width="9.109375" style="1" customWidth="1"/>
    <col min="3853" max="4096" width="9.109375" style="1" hidden="1"/>
    <col min="4097" max="4097" width="28.109375" style="1" customWidth="1"/>
    <col min="4098" max="4098" width="3" style="1" customWidth="1"/>
    <col min="4099" max="4099" width="32.5546875" style="1" bestFit="1" customWidth="1"/>
    <col min="4100" max="4101" width="11.5546875" style="1" customWidth="1"/>
    <col min="4102" max="4102" width="18.88671875" style="1" bestFit="1" customWidth="1"/>
    <col min="4103" max="4103" width="16.109375" style="1" bestFit="1" customWidth="1"/>
    <col min="4104" max="4104" width="19.5546875" style="1" customWidth="1"/>
    <col min="4105" max="4105" width="1" style="1" customWidth="1"/>
    <col min="4106" max="4108" width="9.109375" style="1" customWidth="1"/>
    <col min="4109" max="4352" width="9.109375" style="1" hidden="1"/>
    <col min="4353" max="4353" width="28.109375" style="1" customWidth="1"/>
    <col min="4354" max="4354" width="3" style="1" customWidth="1"/>
    <col min="4355" max="4355" width="32.5546875" style="1" bestFit="1" customWidth="1"/>
    <col min="4356" max="4357" width="11.5546875" style="1" customWidth="1"/>
    <col min="4358" max="4358" width="18.88671875" style="1" bestFit="1" customWidth="1"/>
    <col min="4359" max="4359" width="16.109375" style="1" bestFit="1" customWidth="1"/>
    <col min="4360" max="4360" width="19.5546875" style="1" customWidth="1"/>
    <col min="4361" max="4361" width="1" style="1" customWidth="1"/>
    <col min="4362" max="4364" width="9.109375" style="1" customWidth="1"/>
    <col min="4365" max="4608" width="9.109375" style="1" hidden="1"/>
    <col min="4609" max="4609" width="28.109375" style="1" customWidth="1"/>
    <col min="4610" max="4610" width="3" style="1" customWidth="1"/>
    <col min="4611" max="4611" width="32.5546875" style="1" bestFit="1" customWidth="1"/>
    <col min="4612" max="4613" width="11.5546875" style="1" customWidth="1"/>
    <col min="4614" max="4614" width="18.88671875" style="1" bestFit="1" customWidth="1"/>
    <col min="4615" max="4615" width="16.109375" style="1" bestFit="1" customWidth="1"/>
    <col min="4616" max="4616" width="19.5546875" style="1" customWidth="1"/>
    <col min="4617" max="4617" width="1" style="1" customWidth="1"/>
    <col min="4618" max="4620" width="9.109375" style="1" customWidth="1"/>
    <col min="4621" max="4864" width="9.109375" style="1" hidden="1"/>
    <col min="4865" max="4865" width="28.109375" style="1" customWidth="1"/>
    <col min="4866" max="4866" width="3" style="1" customWidth="1"/>
    <col min="4867" max="4867" width="32.5546875" style="1" bestFit="1" customWidth="1"/>
    <col min="4868" max="4869" width="11.5546875" style="1" customWidth="1"/>
    <col min="4870" max="4870" width="18.88671875" style="1" bestFit="1" customWidth="1"/>
    <col min="4871" max="4871" width="16.109375" style="1" bestFit="1" customWidth="1"/>
    <col min="4872" max="4872" width="19.5546875" style="1" customWidth="1"/>
    <col min="4873" max="4873" width="1" style="1" customWidth="1"/>
    <col min="4874" max="4876" width="9.109375" style="1" customWidth="1"/>
    <col min="4877" max="5120" width="9.109375" style="1" hidden="1"/>
    <col min="5121" max="5121" width="28.109375" style="1" customWidth="1"/>
    <col min="5122" max="5122" width="3" style="1" customWidth="1"/>
    <col min="5123" max="5123" width="32.5546875" style="1" bestFit="1" customWidth="1"/>
    <col min="5124" max="5125" width="11.5546875" style="1" customWidth="1"/>
    <col min="5126" max="5126" width="18.88671875" style="1" bestFit="1" customWidth="1"/>
    <col min="5127" max="5127" width="16.109375" style="1" bestFit="1" customWidth="1"/>
    <col min="5128" max="5128" width="19.5546875" style="1" customWidth="1"/>
    <col min="5129" max="5129" width="1" style="1" customWidth="1"/>
    <col min="5130" max="5132" width="9.109375" style="1" customWidth="1"/>
    <col min="5133" max="5376" width="9.109375" style="1" hidden="1"/>
    <col min="5377" max="5377" width="28.109375" style="1" customWidth="1"/>
    <col min="5378" max="5378" width="3" style="1" customWidth="1"/>
    <col min="5379" max="5379" width="32.5546875" style="1" bestFit="1" customWidth="1"/>
    <col min="5380" max="5381" width="11.5546875" style="1" customWidth="1"/>
    <col min="5382" max="5382" width="18.88671875" style="1" bestFit="1" customWidth="1"/>
    <col min="5383" max="5383" width="16.109375" style="1" bestFit="1" customWidth="1"/>
    <col min="5384" max="5384" width="19.5546875" style="1" customWidth="1"/>
    <col min="5385" max="5385" width="1" style="1" customWidth="1"/>
    <col min="5386" max="5388" width="9.109375" style="1" customWidth="1"/>
    <col min="5389" max="5632" width="9.109375" style="1" hidden="1"/>
    <col min="5633" max="5633" width="28.109375" style="1" customWidth="1"/>
    <col min="5634" max="5634" width="3" style="1" customWidth="1"/>
    <col min="5635" max="5635" width="32.5546875" style="1" bestFit="1" customWidth="1"/>
    <col min="5636" max="5637" width="11.5546875" style="1" customWidth="1"/>
    <col min="5638" max="5638" width="18.88671875" style="1" bestFit="1" customWidth="1"/>
    <col min="5639" max="5639" width="16.109375" style="1" bestFit="1" customWidth="1"/>
    <col min="5640" max="5640" width="19.5546875" style="1" customWidth="1"/>
    <col min="5641" max="5641" width="1" style="1" customWidth="1"/>
    <col min="5642" max="5644" width="9.109375" style="1" customWidth="1"/>
    <col min="5645" max="5888" width="9.109375" style="1" hidden="1"/>
    <col min="5889" max="5889" width="28.109375" style="1" customWidth="1"/>
    <col min="5890" max="5890" width="3" style="1" customWidth="1"/>
    <col min="5891" max="5891" width="32.5546875" style="1" bestFit="1" customWidth="1"/>
    <col min="5892" max="5893" width="11.5546875" style="1" customWidth="1"/>
    <col min="5894" max="5894" width="18.88671875" style="1" bestFit="1" customWidth="1"/>
    <col min="5895" max="5895" width="16.109375" style="1" bestFit="1" customWidth="1"/>
    <col min="5896" max="5896" width="19.5546875" style="1" customWidth="1"/>
    <col min="5897" max="5897" width="1" style="1" customWidth="1"/>
    <col min="5898" max="5900" width="9.109375" style="1" customWidth="1"/>
    <col min="5901" max="6144" width="9.109375" style="1" hidden="1"/>
    <col min="6145" max="6145" width="28.109375" style="1" customWidth="1"/>
    <col min="6146" max="6146" width="3" style="1" customWidth="1"/>
    <col min="6147" max="6147" width="32.5546875" style="1" bestFit="1" customWidth="1"/>
    <col min="6148" max="6149" width="11.5546875" style="1" customWidth="1"/>
    <col min="6150" max="6150" width="18.88671875" style="1" bestFit="1" customWidth="1"/>
    <col min="6151" max="6151" width="16.109375" style="1" bestFit="1" customWidth="1"/>
    <col min="6152" max="6152" width="19.5546875" style="1" customWidth="1"/>
    <col min="6153" max="6153" width="1" style="1" customWidth="1"/>
    <col min="6154" max="6156" width="9.109375" style="1" customWidth="1"/>
    <col min="6157" max="6400" width="9.109375" style="1" hidden="1"/>
    <col min="6401" max="6401" width="28.109375" style="1" customWidth="1"/>
    <col min="6402" max="6402" width="3" style="1" customWidth="1"/>
    <col min="6403" max="6403" width="32.5546875" style="1" bestFit="1" customWidth="1"/>
    <col min="6404" max="6405" width="11.5546875" style="1" customWidth="1"/>
    <col min="6406" max="6406" width="18.88671875" style="1" bestFit="1" customWidth="1"/>
    <col min="6407" max="6407" width="16.109375" style="1" bestFit="1" customWidth="1"/>
    <col min="6408" max="6408" width="19.5546875" style="1" customWidth="1"/>
    <col min="6409" max="6409" width="1" style="1" customWidth="1"/>
    <col min="6410" max="6412" width="9.109375" style="1" customWidth="1"/>
    <col min="6413" max="6656" width="9.109375" style="1" hidden="1"/>
    <col min="6657" max="6657" width="28.109375" style="1" customWidth="1"/>
    <col min="6658" max="6658" width="3" style="1" customWidth="1"/>
    <col min="6659" max="6659" width="32.5546875" style="1" bestFit="1" customWidth="1"/>
    <col min="6660" max="6661" width="11.5546875" style="1" customWidth="1"/>
    <col min="6662" max="6662" width="18.88671875" style="1" bestFit="1" customWidth="1"/>
    <col min="6663" max="6663" width="16.109375" style="1" bestFit="1" customWidth="1"/>
    <col min="6664" max="6664" width="19.5546875" style="1" customWidth="1"/>
    <col min="6665" max="6665" width="1" style="1" customWidth="1"/>
    <col min="6666" max="6668" width="9.109375" style="1" customWidth="1"/>
    <col min="6669" max="6912" width="9.109375" style="1" hidden="1"/>
    <col min="6913" max="6913" width="28.109375" style="1" customWidth="1"/>
    <col min="6914" max="6914" width="3" style="1" customWidth="1"/>
    <col min="6915" max="6915" width="32.5546875" style="1" bestFit="1" customWidth="1"/>
    <col min="6916" max="6917" width="11.5546875" style="1" customWidth="1"/>
    <col min="6918" max="6918" width="18.88671875" style="1" bestFit="1" customWidth="1"/>
    <col min="6919" max="6919" width="16.109375" style="1" bestFit="1" customWidth="1"/>
    <col min="6920" max="6920" width="19.5546875" style="1" customWidth="1"/>
    <col min="6921" max="6921" width="1" style="1" customWidth="1"/>
    <col min="6922" max="6924" width="9.109375" style="1" customWidth="1"/>
    <col min="6925" max="7168" width="9.109375" style="1" hidden="1"/>
    <col min="7169" max="7169" width="28.109375" style="1" customWidth="1"/>
    <col min="7170" max="7170" width="3" style="1" customWidth="1"/>
    <col min="7171" max="7171" width="32.5546875" style="1" bestFit="1" customWidth="1"/>
    <col min="7172" max="7173" width="11.5546875" style="1" customWidth="1"/>
    <col min="7174" max="7174" width="18.88671875" style="1" bestFit="1" customWidth="1"/>
    <col min="7175" max="7175" width="16.109375" style="1" bestFit="1" customWidth="1"/>
    <col min="7176" max="7176" width="19.5546875" style="1" customWidth="1"/>
    <col min="7177" max="7177" width="1" style="1" customWidth="1"/>
    <col min="7178" max="7180" width="9.109375" style="1" customWidth="1"/>
    <col min="7181" max="7424" width="9.109375" style="1" hidden="1"/>
    <col min="7425" max="7425" width="28.109375" style="1" customWidth="1"/>
    <col min="7426" max="7426" width="3" style="1" customWidth="1"/>
    <col min="7427" max="7427" width="32.5546875" style="1" bestFit="1" customWidth="1"/>
    <col min="7428" max="7429" width="11.5546875" style="1" customWidth="1"/>
    <col min="7430" max="7430" width="18.88671875" style="1" bestFit="1" customWidth="1"/>
    <col min="7431" max="7431" width="16.109375" style="1" bestFit="1" customWidth="1"/>
    <col min="7432" max="7432" width="19.5546875" style="1" customWidth="1"/>
    <col min="7433" max="7433" width="1" style="1" customWidth="1"/>
    <col min="7434" max="7436" width="9.109375" style="1" customWidth="1"/>
    <col min="7437" max="7680" width="9.109375" style="1" hidden="1"/>
    <col min="7681" max="7681" width="28.109375" style="1" customWidth="1"/>
    <col min="7682" max="7682" width="3" style="1" customWidth="1"/>
    <col min="7683" max="7683" width="32.5546875" style="1" bestFit="1" customWidth="1"/>
    <col min="7684" max="7685" width="11.5546875" style="1" customWidth="1"/>
    <col min="7686" max="7686" width="18.88671875" style="1" bestFit="1" customWidth="1"/>
    <col min="7687" max="7687" width="16.109375" style="1" bestFit="1" customWidth="1"/>
    <col min="7688" max="7688" width="19.5546875" style="1" customWidth="1"/>
    <col min="7689" max="7689" width="1" style="1" customWidth="1"/>
    <col min="7690" max="7692" width="9.109375" style="1" customWidth="1"/>
    <col min="7693" max="7936" width="9.109375" style="1" hidden="1"/>
    <col min="7937" max="7937" width="28.109375" style="1" customWidth="1"/>
    <col min="7938" max="7938" width="3" style="1" customWidth="1"/>
    <col min="7939" max="7939" width="32.5546875" style="1" bestFit="1" customWidth="1"/>
    <col min="7940" max="7941" width="11.5546875" style="1" customWidth="1"/>
    <col min="7942" max="7942" width="18.88671875" style="1" bestFit="1" customWidth="1"/>
    <col min="7943" max="7943" width="16.109375" style="1" bestFit="1" customWidth="1"/>
    <col min="7944" max="7944" width="19.5546875" style="1" customWidth="1"/>
    <col min="7945" max="7945" width="1" style="1" customWidth="1"/>
    <col min="7946" max="7948" width="9.109375" style="1" customWidth="1"/>
    <col min="7949" max="8192" width="9.109375" style="1" hidden="1"/>
    <col min="8193" max="8193" width="28.109375" style="1" customWidth="1"/>
    <col min="8194" max="8194" width="3" style="1" customWidth="1"/>
    <col min="8195" max="8195" width="32.5546875" style="1" bestFit="1" customWidth="1"/>
    <col min="8196" max="8197" width="11.5546875" style="1" customWidth="1"/>
    <col min="8198" max="8198" width="18.88671875" style="1" bestFit="1" customWidth="1"/>
    <col min="8199" max="8199" width="16.109375" style="1" bestFit="1" customWidth="1"/>
    <col min="8200" max="8200" width="19.5546875" style="1" customWidth="1"/>
    <col min="8201" max="8201" width="1" style="1" customWidth="1"/>
    <col min="8202" max="8204" width="9.109375" style="1" customWidth="1"/>
    <col min="8205" max="8448" width="9.109375" style="1" hidden="1"/>
    <col min="8449" max="8449" width="28.109375" style="1" customWidth="1"/>
    <col min="8450" max="8450" width="3" style="1" customWidth="1"/>
    <col min="8451" max="8451" width="32.5546875" style="1" bestFit="1" customWidth="1"/>
    <col min="8452" max="8453" width="11.5546875" style="1" customWidth="1"/>
    <col min="8454" max="8454" width="18.88671875" style="1" bestFit="1" customWidth="1"/>
    <col min="8455" max="8455" width="16.109375" style="1" bestFit="1" customWidth="1"/>
    <col min="8456" max="8456" width="19.5546875" style="1" customWidth="1"/>
    <col min="8457" max="8457" width="1" style="1" customWidth="1"/>
    <col min="8458" max="8460" width="9.109375" style="1" customWidth="1"/>
    <col min="8461" max="8704" width="9.109375" style="1" hidden="1"/>
    <col min="8705" max="8705" width="28.109375" style="1" customWidth="1"/>
    <col min="8706" max="8706" width="3" style="1" customWidth="1"/>
    <col min="8707" max="8707" width="32.5546875" style="1" bestFit="1" customWidth="1"/>
    <col min="8708" max="8709" width="11.5546875" style="1" customWidth="1"/>
    <col min="8710" max="8710" width="18.88671875" style="1" bestFit="1" customWidth="1"/>
    <col min="8711" max="8711" width="16.109375" style="1" bestFit="1" customWidth="1"/>
    <col min="8712" max="8712" width="19.5546875" style="1" customWidth="1"/>
    <col min="8713" max="8713" width="1" style="1" customWidth="1"/>
    <col min="8714" max="8716" width="9.109375" style="1" customWidth="1"/>
    <col min="8717" max="8960" width="9.109375" style="1" hidden="1"/>
    <col min="8961" max="8961" width="28.109375" style="1" customWidth="1"/>
    <col min="8962" max="8962" width="3" style="1" customWidth="1"/>
    <col min="8963" max="8963" width="32.5546875" style="1" bestFit="1" customWidth="1"/>
    <col min="8964" max="8965" width="11.5546875" style="1" customWidth="1"/>
    <col min="8966" max="8966" width="18.88671875" style="1" bestFit="1" customWidth="1"/>
    <col min="8967" max="8967" width="16.109375" style="1" bestFit="1" customWidth="1"/>
    <col min="8968" max="8968" width="19.5546875" style="1" customWidth="1"/>
    <col min="8969" max="8969" width="1" style="1" customWidth="1"/>
    <col min="8970" max="8972" width="9.109375" style="1" customWidth="1"/>
    <col min="8973" max="9216" width="9.109375" style="1" hidden="1"/>
    <col min="9217" max="9217" width="28.109375" style="1" customWidth="1"/>
    <col min="9218" max="9218" width="3" style="1" customWidth="1"/>
    <col min="9219" max="9219" width="32.5546875" style="1" bestFit="1" customWidth="1"/>
    <col min="9220" max="9221" width="11.5546875" style="1" customWidth="1"/>
    <col min="9222" max="9222" width="18.88671875" style="1" bestFit="1" customWidth="1"/>
    <col min="9223" max="9223" width="16.109375" style="1" bestFit="1" customWidth="1"/>
    <col min="9224" max="9224" width="19.5546875" style="1" customWidth="1"/>
    <col min="9225" max="9225" width="1" style="1" customWidth="1"/>
    <col min="9226" max="9228" width="9.109375" style="1" customWidth="1"/>
    <col min="9229" max="9472" width="9.109375" style="1" hidden="1"/>
    <col min="9473" max="9473" width="28.109375" style="1" customWidth="1"/>
    <col min="9474" max="9474" width="3" style="1" customWidth="1"/>
    <col min="9475" max="9475" width="32.5546875" style="1" bestFit="1" customWidth="1"/>
    <col min="9476" max="9477" width="11.5546875" style="1" customWidth="1"/>
    <col min="9478" max="9478" width="18.88671875" style="1" bestFit="1" customWidth="1"/>
    <col min="9479" max="9479" width="16.109375" style="1" bestFit="1" customWidth="1"/>
    <col min="9480" max="9480" width="19.5546875" style="1" customWidth="1"/>
    <col min="9481" max="9481" width="1" style="1" customWidth="1"/>
    <col min="9482" max="9484" width="9.109375" style="1" customWidth="1"/>
    <col min="9485" max="9728" width="9.109375" style="1" hidden="1"/>
    <col min="9729" max="9729" width="28.109375" style="1" customWidth="1"/>
    <col min="9730" max="9730" width="3" style="1" customWidth="1"/>
    <col min="9731" max="9731" width="32.5546875" style="1" bestFit="1" customWidth="1"/>
    <col min="9732" max="9733" width="11.5546875" style="1" customWidth="1"/>
    <col min="9734" max="9734" width="18.88671875" style="1" bestFit="1" customWidth="1"/>
    <col min="9735" max="9735" width="16.109375" style="1" bestFit="1" customWidth="1"/>
    <col min="9736" max="9736" width="19.5546875" style="1" customWidth="1"/>
    <col min="9737" max="9737" width="1" style="1" customWidth="1"/>
    <col min="9738" max="9740" width="9.109375" style="1" customWidth="1"/>
    <col min="9741" max="9984" width="9.109375" style="1" hidden="1"/>
    <col min="9985" max="9985" width="28.109375" style="1" customWidth="1"/>
    <col min="9986" max="9986" width="3" style="1" customWidth="1"/>
    <col min="9987" max="9987" width="32.5546875" style="1" bestFit="1" customWidth="1"/>
    <col min="9988" max="9989" width="11.5546875" style="1" customWidth="1"/>
    <col min="9990" max="9990" width="18.88671875" style="1" bestFit="1" customWidth="1"/>
    <col min="9991" max="9991" width="16.109375" style="1" bestFit="1" customWidth="1"/>
    <col min="9992" max="9992" width="19.5546875" style="1" customWidth="1"/>
    <col min="9993" max="9993" width="1" style="1" customWidth="1"/>
    <col min="9994" max="9996" width="9.109375" style="1" customWidth="1"/>
    <col min="9997" max="10240" width="9.109375" style="1" hidden="1"/>
    <col min="10241" max="10241" width="28.109375" style="1" customWidth="1"/>
    <col min="10242" max="10242" width="3" style="1" customWidth="1"/>
    <col min="10243" max="10243" width="32.5546875" style="1" bestFit="1" customWidth="1"/>
    <col min="10244" max="10245" width="11.5546875" style="1" customWidth="1"/>
    <col min="10246" max="10246" width="18.88671875" style="1" bestFit="1" customWidth="1"/>
    <col min="10247" max="10247" width="16.109375" style="1" bestFit="1" customWidth="1"/>
    <col min="10248" max="10248" width="19.5546875" style="1" customWidth="1"/>
    <col min="10249" max="10249" width="1" style="1" customWidth="1"/>
    <col min="10250" max="10252" width="9.109375" style="1" customWidth="1"/>
    <col min="10253" max="10496" width="9.109375" style="1" hidden="1"/>
    <col min="10497" max="10497" width="28.109375" style="1" customWidth="1"/>
    <col min="10498" max="10498" width="3" style="1" customWidth="1"/>
    <col min="10499" max="10499" width="32.5546875" style="1" bestFit="1" customWidth="1"/>
    <col min="10500" max="10501" width="11.5546875" style="1" customWidth="1"/>
    <col min="10502" max="10502" width="18.88671875" style="1" bestFit="1" customWidth="1"/>
    <col min="10503" max="10503" width="16.109375" style="1" bestFit="1" customWidth="1"/>
    <col min="10504" max="10504" width="19.5546875" style="1" customWidth="1"/>
    <col min="10505" max="10505" width="1" style="1" customWidth="1"/>
    <col min="10506" max="10508" width="9.109375" style="1" customWidth="1"/>
    <col min="10509" max="10752" width="9.109375" style="1" hidden="1"/>
    <col min="10753" max="10753" width="28.109375" style="1" customWidth="1"/>
    <col min="10754" max="10754" width="3" style="1" customWidth="1"/>
    <col min="10755" max="10755" width="32.5546875" style="1" bestFit="1" customWidth="1"/>
    <col min="10756" max="10757" width="11.5546875" style="1" customWidth="1"/>
    <col min="10758" max="10758" width="18.88671875" style="1" bestFit="1" customWidth="1"/>
    <col min="10759" max="10759" width="16.109375" style="1" bestFit="1" customWidth="1"/>
    <col min="10760" max="10760" width="19.5546875" style="1" customWidth="1"/>
    <col min="10761" max="10761" width="1" style="1" customWidth="1"/>
    <col min="10762" max="10764" width="9.109375" style="1" customWidth="1"/>
    <col min="10765" max="11008" width="9.109375" style="1" hidden="1"/>
    <col min="11009" max="11009" width="28.109375" style="1" customWidth="1"/>
    <col min="11010" max="11010" width="3" style="1" customWidth="1"/>
    <col min="11011" max="11011" width="32.5546875" style="1" bestFit="1" customWidth="1"/>
    <col min="11012" max="11013" width="11.5546875" style="1" customWidth="1"/>
    <col min="11014" max="11014" width="18.88671875" style="1" bestFit="1" customWidth="1"/>
    <col min="11015" max="11015" width="16.109375" style="1" bestFit="1" customWidth="1"/>
    <col min="11016" max="11016" width="19.5546875" style="1" customWidth="1"/>
    <col min="11017" max="11017" width="1" style="1" customWidth="1"/>
    <col min="11018" max="11020" width="9.109375" style="1" customWidth="1"/>
    <col min="11021" max="11264" width="9.109375" style="1" hidden="1"/>
    <col min="11265" max="11265" width="28.109375" style="1" customWidth="1"/>
    <col min="11266" max="11266" width="3" style="1" customWidth="1"/>
    <col min="11267" max="11267" width="32.5546875" style="1" bestFit="1" customWidth="1"/>
    <col min="11268" max="11269" width="11.5546875" style="1" customWidth="1"/>
    <col min="11270" max="11270" width="18.88671875" style="1" bestFit="1" customWidth="1"/>
    <col min="11271" max="11271" width="16.109375" style="1" bestFit="1" customWidth="1"/>
    <col min="11272" max="11272" width="19.5546875" style="1" customWidth="1"/>
    <col min="11273" max="11273" width="1" style="1" customWidth="1"/>
    <col min="11274" max="11276" width="9.109375" style="1" customWidth="1"/>
    <col min="11277" max="11520" width="9.109375" style="1" hidden="1"/>
    <col min="11521" max="11521" width="28.109375" style="1" customWidth="1"/>
    <col min="11522" max="11522" width="3" style="1" customWidth="1"/>
    <col min="11523" max="11523" width="32.5546875" style="1" bestFit="1" customWidth="1"/>
    <col min="11524" max="11525" width="11.5546875" style="1" customWidth="1"/>
    <col min="11526" max="11526" width="18.88671875" style="1" bestFit="1" customWidth="1"/>
    <col min="11527" max="11527" width="16.109375" style="1" bestFit="1" customWidth="1"/>
    <col min="11528" max="11528" width="19.5546875" style="1" customWidth="1"/>
    <col min="11529" max="11529" width="1" style="1" customWidth="1"/>
    <col min="11530" max="11532" width="9.109375" style="1" customWidth="1"/>
    <col min="11533" max="11776" width="9.109375" style="1" hidden="1"/>
    <col min="11777" max="11777" width="28.109375" style="1" customWidth="1"/>
    <col min="11778" max="11778" width="3" style="1" customWidth="1"/>
    <col min="11779" max="11779" width="32.5546875" style="1" bestFit="1" customWidth="1"/>
    <col min="11780" max="11781" width="11.5546875" style="1" customWidth="1"/>
    <col min="11782" max="11782" width="18.88671875" style="1" bestFit="1" customWidth="1"/>
    <col min="11783" max="11783" width="16.109375" style="1" bestFit="1" customWidth="1"/>
    <col min="11784" max="11784" width="19.5546875" style="1" customWidth="1"/>
    <col min="11785" max="11785" width="1" style="1" customWidth="1"/>
    <col min="11786" max="11788" width="9.109375" style="1" customWidth="1"/>
    <col min="11789" max="12032" width="9.109375" style="1" hidden="1"/>
    <col min="12033" max="12033" width="28.109375" style="1" customWidth="1"/>
    <col min="12034" max="12034" width="3" style="1" customWidth="1"/>
    <col min="12035" max="12035" width="32.5546875" style="1" bestFit="1" customWidth="1"/>
    <col min="12036" max="12037" width="11.5546875" style="1" customWidth="1"/>
    <col min="12038" max="12038" width="18.88671875" style="1" bestFit="1" customWidth="1"/>
    <col min="12039" max="12039" width="16.109375" style="1" bestFit="1" customWidth="1"/>
    <col min="12040" max="12040" width="19.5546875" style="1" customWidth="1"/>
    <col min="12041" max="12041" width="1" style="1" customWidth="1"/>
    <col min="12042" max="12044" width="9.109375" style="1" customWidth="1"/>
    <col min="12045" max="12288" width="9.109375" style="1" hidden="1"/>
    <col min="12289" max="12289" width="28.109375" style="1" customWidth="1"/>
    <col min="12290" max="12290" width="3" style="1" customWidth="1"/>
    <col min="12291" max="12291" width="32.5546875" style="1" bestFit="1" customWidth="1"/>
    <col min="12292" max="12293" width="11.5546875" style="1" customWidth="1"/>
    <col min="12294" max="12294" width="18.88671875" style="1" bestFit="1" customWidth="1"/>
    <col min="12295" max="12295" width="16.109375" style="1" bestFit="1" customWidth="1"/>
    <col min="12296" max="12296" width="19.5546875" style="1" customWidth="1"/>
    <col min="12297" max="12297" width="1" style="1" customWidth="1"/>
    <col min="12298" max="12300" width="9.109375" style="1" customWidth="1"/>
    <col min="12301" max="12544" width="9.109375" style="1" hidden="1"/>
    <col min="12545" max="12545" width="28.109375" style="1" customWidth="1"/>
    <col min="12546" max="12546" width="3" style="1" customWidth="1"/>
    <col min="12547" max="12547" width="32.5546875" style="1" bestFit="1" customWidth="1"/>
    <col min="12548" max="12549" width="11.5546875" style="1" customWidth="1"/>
    <col min="12550" max="12550" width="18.88671875" style="1" bestFit="1" customWidth="1"/>
    <col min="12551" max="12551" width="16.109375" style="1" bestFit="1" customWidth="1"/>
    <col min="12552" max="12552" width="19.5546875" style="1" customWidth="1"/>
    <col min="12553" max="12553" width="1" style="1" customWidth="1"/>
    <col min="12554" max="12556" width="9.109375" style="1" customWidth="1"/>
    <col min="12557" max="12800" width="9.109375" style="1" hidden="1"/>
    <col min="12801" max="12801" width="28.109375" style="1" customWidth="1"/>
    <col min="12802" max="12802" width="3" style="1" customWidth="1"/>
    <col min="12803" max="12803" width="32.5546875" style="1" bestFit="1" customWidth="1"/>
    <col min="12804" max="12805" width="11.5546875" style="1" customWidth="1"/>
    <col min="12806" max="12806" width="18.88671875" style="1" bestFit="1" customWidth="1"/>
    <col min="12807" max="12807" width="16.109375" style="1" bestFit="1" customWidth="1"/>
    <col min="12808" max="12808" width="19.5546875" style="1" customWidth="1"/>
    <col min="12809" max="12809" width="1" style="1" customWidth="1"/>
    <col min="12810" max="12812" width="9.109375" style="1" customWidth="1"/>
    <col min="12813" max="13056" width="9.109375" style="1" hidden="1"/>
    <col min="13057" max="13057" width="28.109375" style="1" customWidth="1"/>
    <col min="13058" max="13058" width="3" style="1" customWidth="1"/>
    <col min="13059" max="13059" width="32.5546875" style="1" bestFit="1" customWidth="1"/>
    <col min="13060" max="13061" width="11.5546875" style="1" customWidth="1"/>
    <col min="13062" max="13062" width="18.88671875" style="1" bestFit="1" customWidth="1"/>
    <col min="13063" max="13063" width="16.109375" style="1" bestFit="1" customWidth="1"/>
    <col min="13064" max="13064" width="19.5546875" style="1" customWidth="1"/>
    <col min="13065" max="13065" width="1" style="1" customWidth="1"/>
    <col min="13066" max="13068" width="9.109375" style="1" customWidth="1"/>
    <col min="13069" max="13312" width="9.109375" style="1" hidden="1"/>
    <col min="13313" max="13313" width="28.109375" style="1" customWidth="1"/>
    <col min="13314" max="13314" width="3" style="1" customWidth="1"/>
    <col min="13315" max="13315" width="32.5546875" style="1" bestFit="1" customWidth="1"/>
    <col min="13316" max="13317" width="11.5546875" style="1" customWidth="1"/>
    <col min="13318" max="13318" width="18.88671875" style="1" bestFit="1" customWidth="1"/>
    <col min="13319" max="13319" width="16.109375" style="1" bestFit="1" customWidth="1"/>
    <col min="13320" max="13320" width="19.5546875" style="1" customWidth="1"/>
    <col min="13321" max="13321" width="1" style="1" customWidth="1"/>
    <col min="13322" max="13324" width="9.109375" style="1" customWidth="1"/>
    <col min="13325" max="13568" width="9.109375" style="1" hidden="1"/>
    <col min="13569" max="13569" width="28.109375" style="1" customWidth="1"/>
    <col min="13570" max="13570" width="3" style="1" customWidth="1"/>
    <col min="13571" max="13571" width="32.5546875" style="1" bestFit="1" customWidth="1"/>
    <col min="13572" max="13573" width="11.5546875" style="1" customWidth="1"/>
    <col min="13574" max="13574" width="18.88671875" style="1" bestFit="1" customWidth="1"/>
    <col min="13575" max="13575" width="16.109375" style="1" bestFit="1" customWidth="1"/>
    <col min="13576" max="13576" width="19.5546875" style="1" customWidth="1"/>
    <col min="13577" max="13577" width="1" style="1" customWidth="1"/>
    <col min="13578" max="13580" width="9.109375" style="1" customWidth="1"/>
    <col min="13581" max="13824" width="9.109375" style="1" hidden="1"/>
    <col min="13825" max="13825" width="28.109375" style="1" customWidth="1"/>
    <col min="13826" max="13826" width="3" style="1" customWidth="1"/>
    <col min="13827" max="13827" width="32.5546875" style="1" bestFit="1" customWidth="1"/>
    <col min="13828" max="13829" width="11.5546875" style="1" customWidth="1"/>
    <col min="13830" max="13830" width="18.88671875" style="1" bestFit="1" customWidth="1"/>
    <col min="13831" max="13831" width="16.109375" style="1" bestFit="1" customWidth="1"/>
    <col min="13832" max="13832" width="19.5546875" style="1" customWidth="1"/>
    <col min="13833" max="13833" width="1" style="1" customWidth="1"/>
    <col min="13834" max="13836" width="9.109375" style="1" customWidth="1"/>
    <col min="13837" max="14080" width="9.109375" style="1" hidden="1"/>
    <col min="14081" max="14081" width="28.109375" style="1" customWidth="1"/>
    <col min="14082" max="14082" width="3" style="1" customWidth="1"/>
    <col min="14083" max="14083" width="32.5546875" style="1" bestFit="1" customWidth="1"/>
    <col min="14084" max="14085" width="11.5546875" style="1" customWidth="1"/>
    <col min="14086" max="14086" width="18.88671875" style="1" bestFit="1" customWidth="1"/>
    <col min="14087" max="14087" width="16.109375" style="1" bestFit="1" customWidth="1"/>
    <col min="14088" max="14088" width="19.5546875" style="1" customWidth="1"/>
    <col min="14089" max="14089" width="1" style="1" customWidth="1"/>
    <col min="14090" max="14092" width="9.109375" style="1" customWidth="1"/>
    <col min="14093" max="14336" width="9.109375" style="1" hidden="1"/>
    <col min="14337" max="14337" width="28.109375" style="1" customWidth="1"/>
    <col min="14338" max="14338" width="3" style="1" customWidth="1"/>
    <col min="14339" max="14339" width="32.5546875" style="1" bestFit="1" customWidth="1"/>
    <col min="14340" max="14341" width="11.5546875" style="1" customWidth="1"/>
    <col min="14342" max="14342" width="18.88671875" style="1" bestFit="1" customWidth="1"/>
    <col min="14343" max="14343" width="16.109375" style="1" bestFit="1" customWidth="1"/>
    <col min="14344" max="14344" width="19.5546875" style="1" customWidth="1"/>
    <col min="14345" max="14345" width="1" style="1" customWidth="1"/>
    <col min="14346" max="14348" width="9.109375" style="1" customWidth="1"/>
    <col min="14349" max="14592" width="9.109375" style="1" hidden="1"/>
    <col min="14593" max="14593" width="28.109375" style="1" customWidth="1"/>
    <col min="14594" max="14594" width="3" style="1" customWidth="1"/>
    <col min="14595" max="14595" width="32.5546875" style="1" bestFit="1" customWidth="1"/>
    <col min="14596" max="14597" width="11.5546875" style="1" customWidth="1"/>
    <col min="14598" max="14598" width="18.88671875" style="1" bestFit="1" customWidth="1"/>
    <col min="14599" max="14599" width="16.109375" style="1" bestFit="1" customWidth="1"/>
    <col min="14600" max="14600" width="19.5546875" style="1" customWidth="1"/>
    <col min="14601" max="14601" width="1" style="1" customWidth="1"/>
    <col min="14602" max="14604" width="9.109375" style="1" customWidth="1"/>
    <col min="14605" max="14848" width="9.109375" style="1" hidden="1"/>
    <col min="14849" max="14849" width="28.109375" style="1" customWidth="1"/>
    <col min="14850" max="14850" width="3" style="1" customWidth="1"/>
    <col min="14851" max="14851" width="32.5546875" style="1" bestFit="1" customWidth="1"/>
    <col min="14852" max="14853" width="11.5546875" style="1" customWidth="1"/>
    <col min="14854" max="14854" width="18.88671875" style="1" bestFit="1" customWidth="1"/>
    <col min="14855" max="14855" width="16.109375" style="1" bestFit="1" customWidth="1"/>
    <col min="14856" max="14856" width="19.5546875" style="1" customWidth="1"/>
    <col min="14857" max="14857" width="1" style="1" customWidth="1"/>
    <col min="14858" max="14860" width="9.109375" style="1" customWidth="1"/>
    <col min="14861" max="15104" width="9.109375" style="1" hidden="1"/>
    <col min="15105" max="15105" width="28.109375" style="1" customWidth="1"/>
    <col min="15106" max="15106" width="3" style="1" customWidth="1"/>
    <col min="15107" max="15107" width="32.5546875" style="1" bestFit="1" customWidth="1"/>
    <col min="15108" max="15109" width="11.5546875" style="1" customWidth="1"/>
    <col min="15110" max="15110" width="18.88671875" style="1" bestFit="1" customWidth="1"/>
    <col min="15111" max="15111" width="16.109375" style="1" bestFit="1" customWidth="1"/>
    <col min="15112" max="15112" width="19.5546875" style="1" customWidth="1"/>
    <col min="15113" max="15113" width="1" style="1" customWidth="1"/>
    <col min="15114" max="15116" width="9.109375" style="1" customWidth="1"/>
    <col min="15117" max="15360" width="9.109375" style="1" hidden="1"/>
    <col min="15361" max="15361" width="28.109375" style="1" customWidth="1"/>
    <col min="15362" max="15362" width="3" style="1" customWidth="1"/>
    <col min="15363" max="15363" width="32.5546875" style="1" bestFit="1" customWidth="1"/>
    <col min="15364" max="15365" width="11.5546875" style="1" customWidth="1"/>
    <col min="15366" max="15366" width="18.88671875" style="1" bestFit="1" customWidth="1"/>
    <col min="15367" max="15367" width="16.109375" style="1" bestFit="1" customWidth="1"/>
    <col min="15368" max="15368" width="19.5546875" style="1" customWidth="1"/>
    <col min="15369" max="15369" width="1" style="1" customWidth="1"/>
    <col min="15370" max="15372" width="9.109375" style="1" customWidth="1"/>
    <col min="15373" max="15616" width="9.109375" style="1" hidden="1"/>
    <col min="15617" max="15617" width="28.109375" style="1" customWidth="1"/>
    <col min="15618" max="15618" width="3" style="1" customWidth="1"/>
    <col min="15619" max="15619" width="32.5546875" style="1" bestFit="1" customWidth="1"/>
    <col min="15620" max="15621" width="11.5546875" style="1" customWidth="1"/>
    <col min="15622" max="15622" width="18.88671875" style="1" bestFit="1" customWidth="1"/>
    <col min="15623" max="15623" width="16.109375" style="1" bestFit="1" customWidth="1"/>
    <col min="15624" max="15624" width="19.5546875" style="1" customWidth="1"/>
    <col min="15625" max="15625" width="1" style="1" customWidth="1"/>
    <col min="15626" max="15628" width="9.109375" style="1" customWidth="1"/>
    <col min="15629" max="15872" width="9.109375" style="1" hidden="1"/>
    <col min="15873" max="15873" width="28.109375" style="1" customWidth="1"/>
    <col min="15874" max="15874" width="3" style="1" customWidth="1"/>
    <col min="15875" max="15875" width="32.5546875" style="1" bestFit="1" customWidth="1"/>
    <col min="15876" max="15877" width="11.5546875" style="1" customWidth="1"/>
    <col min="15878" max="15878" width="18.88671875" style="1" bestFit="1" customWidth="1"/>
    <col min="15879" max="15879" width="16.109375" style="1" bestFit="1" customWidth="1"/>
    <col min="15880" max="15880" width="19.5546875" style="1" customWidth="1"/>
    <col min="15881" max="15881" width="1" style="1" customWidth="1"/>
    <col min="15882" max="15884" width="9.109375" style="1" customWidth="1"/>
    <col min="15885" max="16128" width="9.109375" style="1" hidden="1"/>
    <col min="16129" max="16129" width="28.109375" style="1" customWidth="1"/>
    <col min="16130" max="16130" width="3" style="1" customWidth="1"/>
    <col min="16131" max="16131" width="32.5546875" style="1" bestFit="1" customWidth="1"/>
    <col min="16132" max="16133" width="11.5546875" style="1" customWidth="1"/>
    <col min="16134" max="16134" width="18.88671875" style="1" bestFit="1" customWidth="1"/>
    <col min="16135" max="16135" width="16.109375" style="1" bestFit="1" customWidth="1"/>
    <col min="16136" max="16136" width="19.5546875" style="1" customWidth="1"/>
    <col min="16137" max="16137" width="1" style="1" customWidth="1"/>
    <col min="16138" max="16140" width="9.109375" style="1" customWidth="1"/>
    <col min="16141" max="16384" width="9.109375" style="1" hidden="1"/>
  </cols>
  <sheetData>
    <row r="1" spans="1:12" ht="34.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customHeight="1" x14ac:dyDescent="0.3">
      <c r="A2" s="4"/>
      <c r="B2" s="22"/>
      <c r="C2" s="686" t="s">
        <v>663</v>
      </c>
      <c r="D2" s="686"/>
      <c r="E2" s="686"/>
      <c r="F2" s="686"/>
      <c r="G2" s="686"/>
      <c r="H2" s="687"/>
      <c r="I2" s="5"/>
      <c r="J2" s="5"/>
      <c r="K2" s="5"/>
      <c r="L2" s="5"/>
    </row>
    <row r="3" spans="1:12" x14ac:dyDescent="0.3">
      <c r="B3" s="23"/>
      <c r="C3" s="24"/>
      <c r="D3" s="25" t="s">
        <v>234</v>
      </c>
      <c r="E3" s="25" t="s">
        <v>235</v>
      </c>
      <c r="F3" s="26" t="s">
        <v>236</v>
      </c>
      <c r="G3" s="26" t="s">
        <v>237</v>
      </c>
      <c r="H3" s="27" t="s">
        <v>238</v>
      </c>
      <c r="I3" s="1"/>
      <c r="J3" s="1"/>
      <c r="K3" s="1"/>
      <c r="L3" s="1"/>
    </row>
    <row r="4" spans="1:12" ht="14.25" customHeight="1" x14ac:dyDescent="0.3">
      <c r="B4" s="28"/>
      <c r="C4" s="29" t="s">
        <v>239</v>
      </c>
      <c r="D4" s="30">
        <v>26760.862000000001</v>
      </c>
      <c r="E4" s="30">
        <v>26328.937999999998</v>
      </c>
      <c r="F4" s="31">
        <f>D4/E4-1</f>
        <v>1.6404915382458807E-2</v>
      </c>
      <c r="G4" s="30">
        <v>22296.836625350501</v>
      </c>
      <c r="H4" s="32">
        <f>D4/G4-1</f>
        <v>0.20020891078217362</v>
      </c>
      <c r="I4" s="1"/>
      <c r="J4" s="1"/>
      <c r="K4" s="1"/>
      <c r="L4" s="1"/>
    </row>
    <row r="5" spans="1:12" ht="14.25" customHeight="1" x14ac:dyDescent="0.3">
      <c r="B5" s="28"/>
      <c r="C5" s="29" t="s">
        <v>240</v>
      </c>
      <c r="D5" s="33">
        <v>49638.94</v>
      </c>
      <c r="E5" s="33">
        <v>48837.760000000002</v>
      </c>
      <c r="F5" s="31">
        <f>D5/E5-1</f>
        <v>1.6404929300606774E-2</v>
      </c>
      <c r="G5" s="33">
        <v>42716.44</v>
      </c>
      <c r="H5" s="32">
        <f>D5/G5-1</f>
        <v>0.16205704407951593</v>
      </c>
      <c r="I5" s="1"/>
      <c r="J5" s="1"/>
      <c r="K5" s="1"/>
      <c r="L5" s="1"/>
    </row>
    <row r="6" spans="1:12" ht="11.25" customHeight="1" x14ac:dyDescent="0.3">
      <c r="B6" s="23"/>
      <c r="C6" s="34"/>
      <c r="D6" s="35"/>
      <c r="E6" s="35"/>
      <c r="F6" s="35"/>
      <c r="G6" s="35"/>
      <c r="H6" s="36"/>
      <c r="I6" s="1"/>
      <c r="J6" s="1"/>
      <c r="K6" s="1"/>
      <c r="L6" s="1"/>
    </row>
    <row r="7" spans="1:12" x14ac:dyDescent="0.3">
      <c r="B7" s="28"/>
      <c r="C7" s="37"/>
      <c r="D7" s="688">
        <v>44680</v>
      </c>
      <c r="E7" s="689"/>
      <c r="F7" s="689"/>
      <c r="G7" s="688">
        <v>44679</v>
      </c>
      <c r="H7" s="690"/>
      <c r="I7" s="1"/>
      <c r="J7" s="1"/>
      <c r="K7" s="1"/>
      <c r="L7" s="1"/>
    </row>
    <row r="8" spans="1:12" x14ac:dyDescent="0.3">
      <c r="B8" s="28"/>
      <c r="C8" s="29" t="s">
        <v>241</v>
      </c>
      <c r="D8" s="682">
        <v>6405732462</v>
      </c>
      <c r="E8" s="682"/>
      <c r="F8" s="682"/>
      <c r="G8" s="682">
        <v>759648190</v>
      </c>
      <c r="H8" s="683"/>
      <c r="I8" s="1"/>
      <c r="J8" s="1"/>
      <c r="K8" s="1"/>
      <c r="L8" s="1"/>
    </row>
    <row r="9" spans="1:12" x14ac:dyDescent="0.3">
      <c r="B9" s="28"/>
      <c r="C9" s="29" t="s">
        <v>242</v>
      </c>
      <c r="D9" s="684">
        <v>30239490691.349998</v>
      </c>
      <c r="E9" s="684"/>
      <c r="F9" s="684"/>
      <c r="G9" s="684">
        <v>5536180173.6099997</v>
      </c>
      <c r="H9" s="685"/>
      <c r="I9" s="1"/>
      <c r="J9" s="1"/>
      <c r="K9" s="1"/>
      <c r="L9" s="1"/>
    </row>
    <row r="10" spans="1:12" x14ac:dyDescent="0.3">
      <c r="B10" s="28"/>
      <c r="C10" s="29" t="s">
        <v>243</v>
      </c>
      <c r="D10" s="682">
        <v>6378</v>
      </c>
      <c r="E10" s="682"/>
      <c r="F10" s="682"/>
      <c r="G10" s="682">
        <v>5032</v>
      </c>
      <c r="H10" s="683"/>
      <c r="I10" s="1"/>
      <c r="J10" s="1"/>
      <c r="K10" s="21"/>
      <c r="L10" s="1"/>
    </row>
    <row r="11" spans="1:12" x14ac:dyDescent="0.3">
      <c r="B11" s="28"/>
      <c r="C11" s="29" t="s">
        <v>244</v>
      </c>
      <c r="D11" s="682">
        <v>36</v>
      </c>
      <c r="E11" s="682"/>
      <c r="F11" s="682"/>
      <c r="G11" s="682">
        <v>34</v>
      </c>
      <c r="H11" s="683"/>
      <c r="I11" s="1"/>
      <c r="J11" s="1"/>
      <c r="K11" s="1"/>
      <c r="L11" s="1"/>
    </row>
    <row r="12" spans="1:12" x14ac:dyDescent="0.3">
      <c r="B12" s="28"/>
      <c r="C12" s="29" t="s">
        <v>245</v>
      </c>
      <c r="D12" s="682">
        <v>12</v>
      </c>
      <c r="E12" s="682"/>
      <c r="F12" s="682"/>
      <c r="G12" s="682">
        <v>17</v>
      </c>
      <c r="H12" s="683"/>
      <c r="I12" s="1"/>
      <c r="J12" s="1"/>
      <c r="K12" s="1"/>
      <c r="L12" s="1"/>
    </row>
    <row r="13" spans="1:12" ht="17.25" customHeight="1" x14ac:dyDescent="0.3">
      <c r="B13" s="23"/>
      <c r="C13" s="38" t="s">
        <v>246</v>
      </c>
      <c r="D13" s="26" t="s">
        <v>248</v>
      </c>
      <c r="E13" s="39" t="s">
        <v>249</v>
      </c>
      <c r="F13" s="38" t="s">
        <v>247</v>
      </c>
      <c r="G13" s="26" t="s">
        <v>248</v>
      </c>
      <c r="H13" s="27" t="s">
        <v>249</v>
      </c>
      <c r="I13" s="1"/>
      <c r="J13" s="1"/>
      <c r="K13" s="1"/>
      <c r="L13" s="1"/>
    </row>
    <row r="14" spans="1:12" x14ac:dyDescent="0.3">
      <c r="B14" s="23"/>
      <c r="C14" s="24" t="s">
        <v>664</v>
      </c>
      <c r="D14" s="40">
        <v>0.10000000000000009</v>
      </c>
      <c r="E14" s="41">
        <v>4.4000000000000004</v>
      </c>
      <c r="F14" s="42" t="s">
        <v>665</v>
      </c>
      <c r="G14" s="43">
        <v>0.1</v>
      </c>
      <c r="H14" s="168">
        <v>1.98</v>
      </c>
      <c r="I14" s="1"/>
      <c r="J14" s="1"/>
      <c r="K14" s="1"/>
      <c r="L14" s="1"/>
    </row>
    <row r="15" spans="1:12" x14ac:dyDescent="0.3">
      <c r="B15" s="23"/>
      <c r="C15" s="24" t="s">
        <v>202</v>
      </c>
      <c r="D15" s="40">
        <v>9.7014925373134275E-2</v>
      </c>
      <c r="E15" s="41">
        <v>1.47</v>
      </c>
      <c r="F15" s="42" t="s">
        <v>666</v>
      </c>
      <c r="G15" s="43">
        <v>8.98876404494382E-2</v>
      </c>
      <c r="H15" s="168">
        <v>0.81</v>
      </c>
      <c r="I15" s="1"/>
      <c r="J15" s="1"/>
      <c r="K15" s="1"/>
      <c r="L15" s="1"/>
    </row>
    <row r="16" spans="1:12" x14ac:dyDescent="0.3">
      <c r="B16" s="23"/>
      <c r="C16" s="24" t="s">
        <v>58</v>
      </c>
      <c r="D16" s="40">
        <v>9.625668449197855E-2</v>
      </c>
      <c r="E16" s="41">
        <v>10.25</v>
      </c>
      <c r="F16" s="42" t="s">
        <v>667</v>
      </c>
      <c r="G16" s="43">
        <v>7.3846153846153895E-2</v>
      </c>
      <c r="H16" s="168">
        <v>6.02</v>
      </c>
      <c r="I16" s="1"/>
      <c r="J16" s="1"/>
      <c r="K16" s="1"/>
      <c r="L16" s="1"/>
    </row>
    <row r="17" spans="2:12" x14ac:dyDescent="0.3">
      <c r="B17" s="23"/>
      <c r="C17" s="24" t="s">
        <v>668</v>
      </c>
      <c r="D17" s="40">
        <v>9.5652173913043592E-2</v>
      </c>
      <c r="E17" s="41">
        <v>2.52</v>
      </c>
      <c r="F17" s="42" t="s">
        <v>93</v>
      </c>
      <c r="G17" s="43">
        <v>4.8387096774193603E-2</v>
      </c>
      <c r="H17" s="168">
        <v>0.59</v>
      </c>
      <c r="I17" s="1"/>
      <c r="J17" s="1"/>
      <c r="K17" s="1"/>
      <c r="L17" s="1"/>
    </row>
    <row r="18" spans="2:12" x14ac:dyDescent="0.3">
      <c r="B18" s="23"/>
      <c r="C18" s="24" t="s">
        <v>39</v>
      </c>
      <c r="D18" s="40">
        <v>9.3525179856114971E-2</v>
      </c>
      <c r="E18" s="41">
        <v>30.4</v>
      </c>
      <c r="F18" s="42" t="s">
        <v>60</v>
      </c>
      <c r="G18" s="43">
        <v>4.4247787610619399E-2</v>
      </c>
      <c r="H18" s="168">
        <v>16.2</v>
      </c>
      <c r="I18" s="1"/>
      <c r="J18" s="1"/>
      <c r="K18" s="1"/>
      <c r="L18" s="1"/>
    </row>
    <row r="19" spans="2:12" x14ac:dyDescent="0.3">
      <c r="B19" s="44"/>
      <c r="C19" s="45"/>
      <c r="D19" s="45"/>
      <c r="E19" s="45"/>
      <c r="F19" s="45"/>
      <c r="G19" s="45"/>
      <c r="H19" s="46"/>
      <c r="I19" s="1"/>
      <c r="J19" s="1"/>
      <c r="K19" s="1"/>
      <c r="L19" s="1"/>
    </row>
    <row r="20" spans="2:12" x14ac:dyDescent="0.3">
      <c r="B20" s="10"/>
      <c r="C20" s="7"/>
      <c r="D20" s="11"/>
      <c r="E20" s="11"/>
      <c r="F20" s="7"/>
      <c r="G20" s="9"/>
      <c r="H20" s="9"/>
      <c r="I20" s="1"/>
      <c r="J20" s="1"/>
      <c r="K20" s="1"/>
      <c r="L20" s="1"/>
    </row>
    <row r="21" spans="2:12" x14ac:dyDescent="0.3">
      <c r="C21" s="7"/>
      <c r="D21" s="8"/>
      <c r="E21" s="8"/>
      <c r="F21" s="3"/>
      <c r="G21" s="9"/>
      <c r="H21" s="9"/>
      <c r="I21" s="1"/>
      <c r="J21" s="1"/>
      <c r="K21" s="1"/>
      <c r="L21" s="1"/>
    </row>
    <row r="22" spans="2:12" x14ac:dyDescent="0.3">
      <c r="D22" s="12"/>
      <c r="E22" s="12"/>
      <c r="F22" s="13"/>
      <c r="G22" s="3"/>
      <c r="H22" s="3"/>
      <c r="I22" s="1"/>
      <c r="J22" s="1"/>
      <c r="K22" s="1"/>
      <c r="L22" s="1"/>
    </row>
    <row r="23" spans="2:12" x14ac:dyDescent="0.3">
      <c r="D23" s="14"/>
      <c r="E23" s="14"/>
      <c r="F23" s="15"/>
      <c r="G23" s="3"/>
      <c r="H23" s="3"/>
      <c r="I23" s="1"/>
      <c r="J23" s="1"/>
      <c r="K23" s="1"/>
      <c r="L23" s="1"/>
    </row>
    <row r="24" spans="2:12" x14ac:dyDescent="0.3">
      <c r="C24" s="3"/>
      <c r="D24" s="3"/>
      <c r="E24" s="3"/>
      <c r="F24" s="3"/>
      <c r="G24" s="3"/>
      <c r="H24" s="3"/>
      <c r="I24" s="1"/>
      <c r="J24" s="1"/>
      <c r="K24" s="1"/>
      <c r="L24" s="1"/>
    </row>
    <row r="25" spans="2:12" x14ac:dyDescent="0.3">
      <c r="C25" s="13"/>
      <c r="D25" s="3"/>
      <c r="E25" s="3"/>
      <c r="F25" s="3"/>
      <c r="G25" s="3"/>
      <c r="H25" s="3"/>
      <c r="I25" s="1"/>
      <c r="J25" s="1"/>
      <c r="K25" s="1"/>
      <c r="L25" s="1"/>
    </row>
    <row r="26" spans="2:12" x14ac:dyDescent="0.3">
      <c r="C26" s="15"/>
      <c r="D26" s="3"/>
      <c r="E26" s="3"/>
      <c r="F26" s="3"/>
      <c r="G26" s="3"/>
      <c r="H26" s="3"/>
      <c r="I26" s="1"/>
      <c r="J26" s="1"/>
      <c r="K26" s="1"/>
      <c r="L26" s="1"/>
    </row>
    <row r="27" spans="2:12" x14ac:dyDescent="0.3">
      <c r="C27" s="3"/>
      <c r="D27" s="16"/>
      <c r="E27" s="3"/>
      <c r="F27" s="3"/>
      <c r="G27" s="3"/>
      <c r="H27" s="3"/>
      <c r="I27" s="1"/>
      <c r="J27" s="1"/>
      <c r="K27" s="1"/>
      <c r="L27" s="1"/>
    </row>
    <row r="28" spans="2:12" x14ac:dyDescent="0.3">
      <c r="C28" s="3"/>
      <c r="D28" s="3"/>
      <c r="E28" s="3"/>
      <c r="F28" s="3"/>
      <c r="G28" s="3"/>
      <c r="H28" s="3"/>
      <c r="I28" s="1"/>
      <c r="J28" s="1"/>
      <c r="K28" s="1"/>
      <c r="L28" s="1"/>
    </row>
    <row r="29" spans="2:12" x14ac:dyDescent="0.3">
      <c r="C29" s="3"/>
      <c r="D29" s="3"/>
      <c r="E29" s="3"/>
      <c r="F29" s="3"/>
      <c r="G29" s="3"/>
      <c r="H29" s="3"/>
      <c r="I29" s="1"/>
      <c r="J29" s="1"/>
      <c r="K29" s="1"/>
      <c r="L29" s="1"/>
    </row>
    <row r="30" spans="2:12" x14ac:dyDescent="0.3">
      <c r="C30" s="3"/>
      <c r="D30" s="3"/>
      <c r="E30" s="3"/>
      <c r="F30" s="3"/>
      <c r="G30" s="3"/>
      <c r="H30" s="3"/>
      <c r="I30" s="1"/>
      <c r="J30" s="1"/>
      <c r="K30" s="1"/>
      <c r="L30" s="1"/>
    </row>
    <row r="31" spans="2:12" x14ac:dyDescent="0.3">
      <c r="C31" s="3"/>
      <c r="D31" s="3"/>
      <c r="E31" s="3"/>
      <c r="F31" s="3"/>
      <c r="G31" s="3"/>
      <c r="H31" s="13"/>
      <c r="I31" s="1"/>
      <c r="J31" s="1"/>
      <c r="K31" s="1"/>
      <c r="L31" s="1"/>
    </row>
    <row r="32" spans="2:12" x14ac:dyDescent="0.3">
      <c r="C32" s="3"/>
      <c r="D32" s="3"/>
      <c r="E32" s="3"/>
      <c r="F32" s="3"/>
      <c r="G32" s="3"/>
      <c r="H32" s="3"/>
      <c r="I32" s="1"/>
      <c r="J32" s="1"/>
      <c r="K32" s="1"/>
      <c r="L32" s="1"/>
    </row>
    <row r="33" spans="8:12" x14ac:dyDescent="0.3">
      <c r="H33" s="3"/>
      <c r="I33" s="1"/>
      <c r="J33" s="1"/>
      <c r="K33" s="1"/>
      <c r="L33" s="1"/>
    </row>
    <row r="34" spans="8:12" x14ac:dyDescent="0.3">
      <c r="H34" s="3"/>
      <c r="I34" s="1"/>
      <c r="J34" s="1"/>
      <c r="K34" s="1"/>
      <c r="L34" s="1"/>
    </row>
    <row r="35" spans="8:12" x14ac:dyDescent="0.3">
      <c r="H35" s="13"/>
      <c r="I35" s="1"/>
      <c r="J35" s="1"/>
      <c r="K35" s="1"/>
      <c r="L35" s="1"/>
    </row>
    <row r="36" spans="8:12" x14ac:dyDescent="0.3">
      <c r="H36" s="3"/>
      <c r="I36" s="1"/>
      <c r="J36" s="1"/>
      <c r="K36" s="1"/>
      <c r="L36" s="1"/>
    </row>
    <row r="37" spans="8:12" x14ac:dyDescent="0.3">
      <c r="H37" s="3"/>
      <c r="I37" s="1"/>
      <c r="J37" s="1"/>
      <c r="K37" s="1"/>
      <c r="L37" s="1"/>
    </row>
    <row r="38" spans="8:12" x14ac:dyDescent="0.3">
      <c r="H38" s="3"/>
      <c r="I38" s="1"/>
      <c r="J38" s="1"/>
      <c r="K38" s="1"/>
      <c r="L38" s="1"/>
    </row>
    <row r="39" spans="8:12" x14ac:dyDescent="0.3">
      <c r="H39" s="3"/>
      <c r="I39" s="1"/>
      <c r="J39" s="1"/>
      <c r="K39" s="1"/>
      <c r="L39" s="1"/>
    </row>
    <row r="40" spans="8:12" x14ac:dyDescent="0.3">
      <c r="H40" s="3"/>
      <c r="I40" s="1"/>
      <c r="J40" s="1"/>
      <c r="K40" s="1"/>
      <c r="L40" s="1"/>
    </row>
    <row r="41" spans="8:12" x14ac:dyDescent="0.3">
      <c r="H41" s="3"/>
      <c r="I41" s="1"/>
      <c r="J41" s="1"/>
      <c r="K41" s="1"/>
      <c r="L41" s="1"/>
    </row>
    <row r="42" spans="8:12" x14ac:dyDescent="0.3">
      <c r="H42" s="17"/>
      <c r="I42" s="1"/>
      <c r="J42" s="1"/>
      <c r="K42" s="1"/>
      <c r="L42" s="1"/>
    </row>
  </sheetData>
  <mergeCells count="13">
    <mergeCell ref="D9:F9"/>
    <mergeCell ref="G9:H9"/>
    <mergeCell ref="C2:H2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>
    <pageSetUpPr fitToPage="1"/>
  </sheetPr>
  <dimension ref="B2:L704"/>
  <sheetViews>
    <sheetView zoomScaleNormal="100" workbookViewId="0">
      <selection activeCell="Y856" sqref="Y856"/>
    </sheetView>
  </sheetViews>
  <sheetFormatPr defaultColWidth="9.109375" defaultRowHeight="13.8" x14ac:dyDescent="0.25"/>
  <cols>
    <col min="1" max="1" width="8.44140625" style="24" customWidth="1"/>
    <col min="2" max="2" width="39.5546875" style="24" bestFit="1" customWidth="1"/>
    <col min="3" max="4" width="13.44140625" style="24" customWidth="1"/>
    <col min="5" max="5" width="11.33203125" style="164" customWidth="1"/>
    <col min="6" max="6" width="13.109375" style="24" customWidth="1"/>
    <col min="7" max="7" width="40.33203125" style="24" bestFit="1" customWidth="1"/>
    <col min="8" max="9" width="13.44140625" style="24" customWidth="1"/>
    <col min="10" max="10" width="11.33203125" style="164" customWidth="1"/>
    <col min="11" max="11" width="11" style="24" customWidth="1"/>
    <col min="12" max="12" width="11.5546875" style="24" bestFit="1" customWidth="1"/>
    <col min="13" max="13" width="10.109375" style="24" customWidth="1"/>
    <col min="14" max="16384" width="9.109375" style="24"/>
  </cols>
  <sheetData>
    <row r="2" spans="2:12" ht="17.399999999999999" x14ac:dyDescent="0.3">
      <c r="B2" s="771" t="s">
        <v>222</v>
      </c>
      <c r="C2" s="771"/>
      <c r="D2" s="771"/>
      <c r="E2" s="771"/>
      <c r="F2" s="771"/>
      <c r="G2" s="771"/>
      <c r="H2" s="771"/>
      <c r="I2" s="771"/>
      <c r="J2" s="771"/>
      <c r="K2" s="163"/>
      <c r="L2" s="163"/>
    </row>
    <row r="3" spans="2:12" ht="14.4" thickBot="1" x14ac:dyDescent="0.3">
      <c r="K3" s="163"/>
      <c r="L3" s="163"/>
    </row>
    <row r="4" spans="2:12" x14ac:dyDescent="0.25">
      <c r="B4" s="691" t="s">
        <v>337</v>
      </c>
      <c r="C4" s="692"/>
      <c r="D4" s="692"/>
      <c r="E4" s="693"/>
      <c r="G4" s="772" t="s">
        <v>338</v>
      </c>
      <c r="H4" s="772"/>
      <c r="I4" s="772"/>
      <c r="J4" s="773"/>
      <c r="K4" s="163"/>
      <c r="L4" s="163"/>
    </row>
    <row r="5" spans="2:12" ht="14.4" thickBot="1" x14ac:dyDescent="0.3">
      <c r="B5" s="694" t="s">
        <v>277</v>
      </c>
      <c r="C5" s="695"/>
      <c r="D5" s="695"/>
      <c r="E5" s="696"/>
      <c r="G5" s="774" t="s">
        <v>277</v>
      </c>
      <c r="H5" s="774"/>
      <c r="I5" s="774"/>
      <c r="J5" s="775"/>
      <c r="K5" s="163"/>
      <c r="L5" s="163"/>
    </row>
    <row r="6" spans="2:12" x14ac:dyDescent="0.25">
      <c r="B6" s="216"/>
      <c r="C6" s="217" t="s">
        <v>310</v>
      </c>
      <c r="D6" s="217" t="s">
        <v>339</v>
      </c>
      <c r="E6" s="218"/>
      <c r="G6" s="219"/>
      <c r="H6" s="217" t="s">
        <v>310</v>
      </c>
      <c r="I6" s="217" t="s">
        <v>339</v>
      </c>
      <c r="J6" s="220"/>
    </row>
    <row r="7" spans="2:12" ht="14.4" thickBot="1" x14ac:dyDescent="0.3">
      <c r="B7" s="221"/>
      <c r="C7" s="222" t="s">
        <v>278</v>
      </c>
      <c r="D7" s="222" t="s">
        <v>278</v>
      </c>
      <c r="E7" s="223"/>
      <c r="G7" s="224"/>
      <c r="H7" s="225" t="s">
        <v>278</v>
      </c>
      <c r="I7" s="225" t="s">
        <v>278</v>
      </c>
      <c r="J7" s="226"/>
    </row>
    <row r="8" spans="2:12" x14ac:dyDescent="0.25">
      <c r="B8" s="227"/>
      <c r="C8" s="228"/>
      <c r="D8" s="228"/>
      <c r="E8" s="207"/>
      <c r="G8" s="229"/>
      <c r="H8" s="230"/>
      <c r="I8" s="230"/>
      <c r="J8" s="231"/>
    </row>
    <row r="9" spans="2:12" x14ac:dyDescent="0.25">
      <c r="B9" s="232" t="s">
        <v>279</v>
      </c>
      <c r="C9" s="233">
        <v>58305.067000000003</v>
      </c>
      <c r="D9" s="233">
        <v>33380.175000000003</v>
      </c>
      <c r="E9" s="210">
        <f>C9/D9-1</f>
        <v>0.74669746338957177</v>
      </c>
      <c r="G9" s="234" t="s">
        <v>279</v>
      </c>
      <c r="H9" s="233">
        <v>183902</v>
      </c>
      <c r="I9" s="233">
        <v>155446</v>
      </c>
      <c r="J9" s="235">
        <f>H9/I9-1</f>
        <v>0.183060355364564</v>
      </c>
    </row>
    <row r="10" spans="2:12" x14ac:dyDescent="0.25">
      <c r="B10" s="232" t="s">
        <v>280</v>
      </c>
      <c r="C10" s="233">
        <v>6019.0110000000004</v>
      </c>
      <c r="D10" s="233">
        <v>4226.6210000000001</v>
      </c>
      <c r="E10" s="210">
        <f>C10/D10-1</f>
        <v>0.42407161654664582</v>
      </c>
      <c r="G10" s="234" t="s">
        <v>308</v>
      </c>
      <c r="H10" s="233">
        <v>44484</v>
      </c>
      <c r="I10" s="233">
        <v>40581</v>
      </c>
      <c r="J10" s="235">
        <f>H10/I10-1</f>
        <v>9.6178014341687046E-2</v>
      </c>
    </row>
    <row r="11" spans="2:12" ht="14.4" thickBot="1" x14ac:dyDescent="0.3">
      <c r="B11" s="236" t="s">
        <v>281</v>
      </c>
      <c r="C11" s="237">
        <f>-225-627.966</f>
        <v>-852.96600000000001</v>
      </c>
      <c r="D11" s="237">
        <f>-255-429.292</f>
        <v>-684.29199999999992</v>
      </c>
      <c r="E11" s="210"/>
      <c r="G11" s="238" t="s">
        <v>281</v>
      </c>
      <c r="H11" s="239">
        <v>-2988</v>
      </c>
      <c r="I11" s="239">
        <v>-2426</v>
      </c>
      <c r="J11" s="235"/>
    </row>
    <row r="12" spans="2:12" ht="14.4" thickBot="1" x14ac:dyDescent="0.3">
      <c r="B12" s="240" t="s">
        <v>282</v>
      </c>
      <c r="C12" s="241">
        <f>SUM(C10:C11)</f>
        <v>5166.0450000000001</v>
      </c>
      <c r="D12" s="241">
        <f>SUM(D10:D11)</f>
        <v>3542.3290000000002</v>
      </c>
      <c r="E12" s="205">
        <f>C12/D12-1</f>
        <v>0.45837526666777695</v>
      </c>
      <c r="G12" s="234" t="s">
        <v>282</v>
      </c>
      <c r="H12" s="241">
        <v>41496</v>
      </c>
      <c r="I12" s="241">
        <v>38155</v>
      </c>
      <c r="J12" s="242">
        <f>H12/I12-1</f>
        <v>8.7563884156729221E-2</v>
      </c>
    </row>
    <row r="13" spans="2:12" ht="14.4" thickBot="1" x14ac:dyDescent="0.3">
      <c r="B13" s="243" t="s">
        <v>283</v>
      </c>
      <c r="C13" s="233"/>
      <c r="D13" s="233"/>
      <c r="E13" s="207"/>
      <c r="G13" s="244" t="s">
        <v>283</v>
      </c>
      <c r="H13" s="239"/>
      <c r="I13" s="239"/>
      <c r="J13" s="245"/>
    </row>
    <row r="14" spans="2:12" x14ac:dyDescent="0.25">
      <c r="B14" s="246"/>
      <c r="C14" s="247" t="s">
        <v>340</v>
      </c>
      <c r="D14" s="247" t="s">
        <v>284</v>
      </c>
      <c r="E14" s="210"/>
      <c r="G14" s="248"/>
      <c r="H14" s="247" t="s">
        <v>340</v>
      </c>
      <c r="I14" s="247" t="s">
        <v>284</v>
      </c>
      <c r="J14" s="245"/>
    </row>
    <row r="15" spans="2:12" x14ac:dyDescent="0.25">
      <c r="B15" s="246" t="s">
        <v>285</v>
      </c>
      <c r="C15" s="233"/>
      <c r="D15" s="233"/>
      <c r="E15" s="210"/>
      <c r="G15" s="248" t="s">
        <v>285</v>
      </c>
      <c r="H15" s="239"/>
      <c r="I15" s="239"/>
      <c r="J15" s="245"/>
    </row>
    <row r="16" spans="2:12" x14ac:dyDescent="0.25">
      <c r="B16" s="249" t="s">
        <v>317</v>
      </c>
      <c r="C16" s="239">
        <v>267444.35499999998</v>
      </c>
      <c r="D16" s="239">
        <v>362700.08299999998</v>
      </c>
      <c r="E16" s="212">
        <f t="shared" ref="E16:E28" si="0">C16/D16-1</f>
        <v>-0.26262946292184886</v>
      </c>
      <c r="G16" s="250" t="s">
        <v>341</v>
      </c>
      <c r="H16" s="239">
        <v>1982497</v>
      </c>
      <c r="I16" s="239">
        <v>1818784</v>
      </c>
      <c r="J16" s="245">
        <f t="shared" ref="J16:J26" si="1">H16/I16-1</f>
        <v>9.0012337913683016E-2</v>
      </c>
    </row>
    <row r="17" spans="2:10" x14ac:dyDescent="0.25">
      <c r="B17" s="249" t="s">
        <v>342</v>
      </c>
      <c r="C17" s="239">
        <v>50621.887999999999</v>
      </c>
      <c r="D17" s="239">
        <v>41538.273999999998</v>
      </c>
      <c r="E17" s="212">
        <f t="shared" si="0"/>
        <v>0.21868058359863496</v>
      </c>
      <c r="G17" s="250" t="s">
        <v>343</v>
      </c>
      <c r="H17" s="239">
        <v>86310</v>
      </c>
      <c r="I17" s="239">
        <v>13096</v>
      </c>
      <c r="J17" s="245">
        <f t="shared" si="1"/>
        <v>5.5905620036652417</v>
      </c>
    </row>
    <row r="18" spans="2:10" x14ac:dyDescent="0.25">
      <c r="B18" s="249" t="s">
        <v>344</v>
      </c>
      <c r="C18" s="239">
        <v>374859.71600000001</v>
      </c>
      <c r="D18" s="239">
        <v>329739.147</v>
      </c>
      <c r="E18" s="212">
        <f t="shared" si="0"/>
        <v>0.13683716177017957</v>
      </c>
      <c r="G18" s="250" t="s">
        <v>288</v>
      </c>
      <c r="H18" s="239">
        <v>33321</v>
      </c>
      <c r="I18" s="239">
        <v>33340</v>
      </c>
      <c r="J18" s="245">
        <f t="shared" si="1"/>
        <v>-5.6988602279539613E-4</v>
      </c>
    </row>
    <row r="19" spans="2:10" x14ac:dyDescent="0.25">
      <c r="B19" s="249" t="s">
        <v>345</v>
      </c>
      <c r="C19" s="239">
        <v>0</v>
      </c>
      <c r="D19" s="239">
        <v>1884.3979999999999</v>
      </c>
      <c r="E19" s="212">
        <f t="shared" si="0"/>
        <v>-1</v>
      </c>
      <c r="G19" s="250" t="s">
        <v>346</v>
      </c>
      <c r="H19" s="239">
        <v>101310</v>
      </c>
      <c r="I19" s="239">
        <v>153897</v>
      </c>
      <c r="J19" s="245">
        <f t="shared" si="1"/>
        <v>-0.34170256730150683</v>
      </c>
    </row>
    <row r="20" spans="2:10" x14ac:dyDescent="0.25">
      <c r="B20" s="249" t="s">
        <v>347</v>
      </c>
      <c r="C20" s="239">
        <v>1100744.514</v>
      </c>
      <c r="D20" s="239">
        <v>1063589.192</v>
      </c>
      <c r="E20" s="212">
        <f t="shared" si="0"/>
        <v>3.4933903314805281E-2</v>
      </c>
      <c r="G20" s="250" t="s">
        <v>348</v>
      </c>
      <c r="H20" s="239">
        <v>2869670</v>
      </c>
      <c r="I20" s="239">
        <v>2680667</v>
      </c>
      <c r="J20" s="245">
        <f t="shared" si="1"/>
        <v>7.0505959897294135E-2</v>
      </c>
    </row>
    <row r="21" spans="2:10" x14ac:dyDescent="0.25">
      <c r="B21" s="249" t="s">
        <v>349</v>
      </c>
      <c r="C21" s="239">
        <v>66902.898000000001</v>
      </c>
      <c r="D21" s="239">
        <v>115456.683</v>
      </c>
      <c r="E21" s="212">
        <f t="shared" si="0"/>
        <v>-0.42053680859686571</v>
      </c>
      <c r="G21" s="250" t="s">
        <v>350</v>
      </c>
      <c r="H21" s="239">
        <v>1481256</v>
      </c>
      <c r="I21" s="239">
        <v>993791</v>
      </c>
      <c r="J21" s="245">
        <f t="shared" si="1"/>
        <v>0.49051058019241478</v>
      </c>
    </row>
    <row r="22" spans="2:10" x14ac:dyDescent="0.25">
      <c r="B22" s="249" t="s">
        <v>330</v>
      </c>
      <c r="C22" s="239">
        <v>417352.63299999997</v>
      </c>
      <c r="D22" s="239">
        <v>372548.33299999998</v>
      </c>
      <c r="E22" s="212">
        <f t="shared" si="0"/>
        <v>0.12026439533149103</v>
      </c>
      <c r="G22" s="250" t="s">
        <v>351</v>
      </c>
      <c r="H22" s="239">
        <v>1814667</v>
      </c>
      <c r="I22" s="239">
        <v>2341839</v>
      </c>
      <c r="J22" s="245">
        <f t="shared" si="1"/>
        <v>-0.22511026590640948</v>
      </c>
    </row>
    <row r="23" spans="2:10" x14ac:dyDescent="0.25">
      <c r="B23" s="249" t="s">
        <v>332</v>
      </c>
      <c r="C23" s="239">
        <v>0</v>
      </c>
      <c r="D23" s="239">
        <v>6810.6509999999998</v>
      </c>
      <c r="E23" s="212">
        <f t="shared" si="0"/>
        <v>-1</v>
      </c>
      <c r="G23" s="250" t="s">
        <v>352</v>
      </c>
      <c r="H23" s="239">
        <v>173899</v>
      </c>
      <c r="I23" s="239">
        <v>149154</v>
      </c>
      <c r="J23" s="245">
        <f t="shared" si="1"/>
        <v>0.16590235595424874</v>
      </c>
    </row>
    <row r="24" spans="2:10" x14ac:dyDescent="0.25">
      <c r="B24" s="249" t="s">
        <v>353</v>
      </c>
      <c r="C24" s="239">
        <v>48182.332000000002</v>
      </c>
      <c r="D24" s="239">
        <v>47084.550999999999</v>
      </c>
      <c r="E24" s="212">
        <f t="shared" si="0"/>
        <v>2.3315099680997431E-2</v>
      </c>
      <c r="G24" s="250" t="s">
        <v>354</v>
      </c>
      <c r="H24" s="239">
        <v>9365</v>
      </c>
      <c r="I24" s="239">
        <v>8945</v>
      </c>
      <c r="J24" s="245">
        <f t="shared" si="1"/>
        <v>4.6953605366126361E-2</v>
      </c>
    </row>
    <row r="25" spans="2:10" x14ac:dyDescent="0.25">
      <c r="B25" s="249" t="s">
        <v>355</v>
      </c>
      <c r="C25" s="239">
        <v>27795.906999999999</v>
      </c>
      <c r="D25" s="239">
        <v>17155.97</v>
      </c>
      <c r="E25" s="212">
        <f t="shared" si="0"/>
        <v>0.62018859907076074</v>
      </c>
      <c r="G25" s="250" t="s">
        <v>353</v>
      </c>
      <c r="H25" s="239">
        <v>168233</v>
      </c>
      <c r="I25" s="239">
        <v>178117</v>
      </c>
      <c r="J25" s="245">
        <f t="shared" si="1"/>
        <v>-5.5491615062009836E-2</v>
      </c>
    </row>
    <row r="26" spans="2:10" x14ac:dyDescent="0.25">
      <c r="B26" s="249" t="s">
        <v>292</v>
      </c>
      <c r="C26" s="239">
        <v>9186.9249999999993</v>
      </c>
      <c r="D26" s="239">
        <v>9163.8960000000006</v>
      </c>
      <c r="E26" s="212">
        <f t="shared" si="0"/>
        <v>2.5130141153935082E-3</v>
      </c>
      <c r="G26" s="250" t="s">
        <v>291</v>
      </c>
      <c r="H26" s="239">
        <v>30771</v>
      </c>
      <c r="I26" s="239">
        <v>30450</v>
      </c>
      <c r="J26" s="245">
        <f t="shared" si="1"/>
        <v>1.0541871921182278E-2</v>
      </c>
    </row>
    <row r="27" spans="2:10" x14ac:dyDescent="0.25">
      <c r="B27" s="249" t="s">
        <v>352</v>
      </c>
      <c r="C27" s="239">
        <v>117428.185</v>
      </c>
      <c r="D27" s="239">
        <v>127410.85</v>
      </c>
      <c r="E27" s="212">
        <f t="shared" si="0"/>
        <v>-7.8350195450387572E-2</v>
      </c>
      <c r="G27" s="250" t="s">
        <v>292</v>
      </c>
      <c r="H27" s="239">
        <v>42766</v>
      </c>
      <c r="I27" s="239">
        <v>43329</v>
      </c>
      <c r="J27" s="245">
        <f>H27/I27-1</f>
        <v>-1.2993607053013001E-2</v>
      </c>
    </row>
    <row r="28" spans="2:10" x14ac:dyDescent="0.25">
      <c r="B28" s="251" t="s">
        <v>293</v>
      </c>
      <c r="C28" s="233">
        <f>SUM(C16:C27)</f>
        <v>2480519.3530000001</v>
      </c>
      <c r="D28" s="233">
        <f>SUM(D16:D27)</f>
        <v>2495082.0280000004</v>
      </c>
      <c r="E28" s="210">
        <f t="shared" si="0"/>
        <v>-5.8365515989361461E-3</v>
      </c>
      <c r="G28" s="250" t="s">
        <v>356</v>
      </c>
      <c r="H28" s="239">
        <v>94319</v>
      </c>
      <c r="I28" s="239">
        <v>95909</v>
      </c>
      <c r="J28" s="245">
        <v>1</v>
      </c>
    </row>
    <row r="29" spans="2:10" x14ac:dyDescent="0.25">
      <c r="B29" s="251"/>
      <c r="C29" s="239"/>
      <c r="D29" s="239"/>
      <c r="E29" s="210"/>
      <c r="G29" s="248" t="s">
        <v>319</v>
      </c>
      <c r="H29" s="233">
        <f>SUM(H16:H28)</f>
        <v>8888384</v>
      </c>
      <c r="I29" s="233">
        <f>SUM(I16:I28)</f>
        <v>8541318</v>
      </c>
      <c r="J29" s="235">
        <f t="shared" ref="J29" si="2">H29/I29-1</f>
        <v>4.063377572407445E-2</v>
      </c>
    </row>
    <row r="30" spans="2:10" x14ac:dyDescent="0.25">
      <c r="B30" s="251" t="s">
        <v>294</v>
      </c>
      <c r="C30" s="239"/>
      <c r="D30" s="239"/>
      <c r="E30" s="210"/>
      <c r="G30" s="248"/>
      <c r="H30" s="233"/>
      <c r="I30" s="233"/>
      <c r="J30" s="235"/>
    </row>
    <row r="31" spans="2:10" x14ac:dyDescent="0.25">
      <c r="B31" s="249" t="s">
        <v>295</v>
      </c>
      <c r="C31" s="239">
        <v>0</v>
      </c>
      <c r="D31" s="239">
        <v>5174.902</v>
      </c>
      <c r="E31" s="212">
        <f t="shared" ref="E31:E43" si="3">C31/D31-1</f>
        <v>-1</v>
      </c>
      <c r="G31" s="248" t="s">
        <v>294</v>
      </c>
      <c r="H31" s="233"/>
      <c r="I31" s="233"/>
      <c r="J31" s="235"/>
    </row>
    <row r="32" spans="2:10" x14ac:dyDescent="0.25">
      <c r="B32" s="249" t="s">
        <v>357</v>
      </c>
      <c r="C32" s="239">
        <v>0</v>
      </c>
      <c r="D32" s="239">
        <v>1871.8689999999999</v>
      </c>
      <c r="E32" s="212">
        <f t="shared" si="3"/>
        <v>-1</v>
      </c>
      <c r="G32" s="250" t="s">
        <v>296</v>
      </c>
      <c r="H32" s="239">
        <v>79</v>
      </c>
      <c r="I32" s="239">
        <v>98</v>
      </c>
      <c r="J32" s="245">
        <f t="shared" ref="J32:J39" si="4">H32/I32-1</f>
        <v>-0.19387755102040816</v>
      </c>
    </row>
    <row r="33" spans="2:10" x14ac:dyDescent="0.25">
      <c r="B33" s="249" t="s">
        <v>358</v>
      </c>
      <c r="C33" s="239">
        <v>128471.799</v>
      </c>
      <c r="D33" s="239">
        <v>160746.916</v>
      </c>
      <c r="E33" s="212">
        <f t="shared" si="3"/>
        <v>-0.20078218483519772</v>
      </c>
      <c r="G33" s="250" t="s">
        <v>359</v>
      </c>
      <c r="H33" s="239">
        <v>684368</v>
      </c>
      <c r="I33" s="239">
        <v>654211</v>
      </c>
      <c r="J33" s="245">
        <f t="shared" si="4"/>
        <v>4.6096748602515003E-2</v>
      </c>
    </row>
    <row r="34" spans="2:10" x14ac:dyDescent="0.25">
      <c r="B34" s="249" t="s">
        <v>360</v>
      </c>
      <c r="C34" s="239">
        <v>1571545.3689999999</v>
      </c>
      <c r="D34" s="239">
        <v>1554413.6229999999</v>
      </c>
      <c r="E34" s="212">
        <f t="shared" si="3"/>
        <v>1.1021356057685505E-2</v>
      </c>
      <c r="G34" s="250" t="s">
        <v>360</v>
      </c>
      <c r="H34" s="239">
        <v>6653742</v>
      </c>
      <c r="I34" s="239">
        <v>6369189</v>
      </c>
      <c r="J34" s="245">
        <f t="shared" si="4"/>
        <v>4.4676488639291412E-2</v>
      </c>
    </row>
    <row r="35" spans="2:10" x14ac:dyDescent="0.25">
      <c r="B35" s="249" t="s">
        <v>361</v>
      </c>
      <c r="C35" s="239">
        <v>78006.433000000005</v>
      </c>
      <c r="D35" s="239">
        <v>80704.066000000006</v>
      </c>
      <c r="E35" s="212">
        <f t="shared" si="3"/>
        <v>-3.3426234063597238E-2</v>
      </c>
      <c r="G35" s="250" t="s">
        <v>299</v>
      </c>
      <c r="H35" s="239">
        <v>283750</v>
      </c>
      <c r="I35" s="239">
        <v>216209</v>
      </c>
      <c r="J35" s="245">
        <f t="shared" si="4"/>
        <v>0.31238755093451243</v>
      </c>
    </row>
    <row r="36" spans="2:10" x14ac:dyDescent="0.25">
      <c r="B36" s="249" t="s">
        <v>362</v>
      </c>
      <c r="C36" s="239">
        <v>171383.22500000001</v>
      </c>
      <c r="D36" s="239">
        <v>157873.774</v>
      </c>
      <c r="E36" s="212">
        <f t="shared" si="3"/>
        <v>8.5571217167456748E-2</v>
      </c>
      <c r="G36" s="250" t="s">
        <v>324</v>
      </c>
      <c r="H36" s="239">
        <v>4322</v>
      </c>
      <c r="I36" s="239">
        <v>21415</v>
      </c>
      <c r="J36" s="245">
        <f t="shared" si="4"/>
        <v>-0.79817884660284844</v>
      </c>
    </row>
    <row r="37" spans="2:10" x14ac:dyDescent="0.25">
      <c r="B37" s="249" t="s">
        <v>363</v>
      </c>
      <c r="C37" s="239">
        <v>108955.40300000001</v>
      </c>
      <c r="D37" s="239">
        <v>78493.491999999998</v>
      </c>
      <c r="E37" s="212">
        <f t="shared" si="3"/>
        <v>0.3880819953837702</v>
      </c>
      <c r="G37" s="250" t="s">
        <v>361</v>
      </c>
      <c r="H37" s="239">
        <v>417536</v>
      </c>
      <c r="I37" s="239">
        <v>455772</v>
      </c>
      <c r="J37" s="245">
        <f t="shared" si="4"/>
        <v>-8.3892823604784894E-2</v>
      </c>
    </row>
    <row r="38" spans="2:10" x14ac:dyDescent="0.25">
      <c r="B38" s="249" t="s">
        <v>364</v>
      </c>
      <c r="C38" s="239">
        <v>420.90899999999999</v>
      </c>
      <c r="D38" s="239">
        <v>14.855</v>
      </c>
      <c r="E38" s="212">
        <f t="shared" si="3"/>
        <v>27.334500168293502</v>
      </c>
      <c r="G38" s="250" t="s">
        <v>321</v>
      </c>
      <c r="H38" s="239">
        <v>18834</v>
      </c>
      <c r="I38" s="239">
        <v>19617</v>
      </c>
      <c r="J38" s="245">
        <f t="shared" si="4"/>
        <v>-3.991435999388282E-2</v>
      </c>
    </row>
    <row r="39" spans="2:10" x14ac:dyDescent="0.25">
      <c r="B39" s="249" t="s">
        <v>365</v>
      </c>
      <c r="C39" s="239">
        <v>5544.1869999999999</v>
      </c>
      <c r="D39" s="239">
        <v>5449.0649999999996</v>
      </c>
      <c r="E39" s="212">
        <f t="shared" si="3"/>
        <v>1.7456572824879224E-2</v>
      </c>
      <c r="G39" s="248" t="s">
        <v>366</v>
      </c>
      <c r="H39" s="233">
        <f>SUM(H32:H38)</f>
        <v>8062631</v>
      </c>
      <c r="I39" s="233">
        <f>SUM(I32:I38)</f>
        <v>7736511</v>
      </c>
      <c r="J39" s="235">
        <f t="shared" si="4"/>
        <v>4.2153368617972697E-2</v>
      </c>
    </row>
    <row r="40" spans="2:10" x14ac:dyDescent="0.25">
      <c r="B40" s="249" t="s">
        <v>367</v>
      </c>
      <c r="C40" s="239">
        <v>351.26400000000001</v>
      </c>
      <c r="D40" s="239">
        <v>308.72899999999998</v>
      </c>
      <c r="E40" s="212">
        <f t="shared" si="3"/>
        <v>0.13777455308701159</v>
      </c>
      <c r="G40" s="248"/>
      <c r="H40" s="233"/>
      <c r="I40" s="233"/>
      <c r="J40" s="235"/>
    </row>
    <row r="41" spans="2:10" x14ac:dyDescent="0.25">
      <c r="B41" s="249" t="s">
        <v>298</v>
      </c>
      <c r="C41" s="239">
        <v>7196.15</v>
      </c>
      <c r="D41" s="239">
        <v>6747.27</v>
      </c>
      <c r="E41" s="212">
        <f t="shared" si="3"/>
        <v>6.6527647478165086E-2</v>
      </c>
      <c r="G41" s="248" t="s">
        <v>301</v>
      </c>
      <c r="H41" s="233"/>
      <c r="I41" s="233"/>
      <c r="J41" s="235"/>
    </row>
    <row r="42" spans="2:10" x14ac:dyDescent="0.25">
      <c r="B42" s="249" t="s">
        <v>299</v>
      </c>
      <c r="C42" s="239">
        <v>159675.67800000001</v>
      </c>
      <c r="D42" s="239">
        <v>199465.22399999999</v>
      </c>
      <c r="E42" s="212">
        <f t="shared" si="3"/>
        <v>-0.19948111857333073</v>
      </c>
      <c r="G42" s="250" t="s">
        <v>302</v>
      </c>
      <c r="H42" s="239">
        <v>17100</v>
      </c>
      <c r="I42" s="239">
        <v>17100</v>
      </c>
      <c r="J42" s="245">
        <f t="shared" ref="J42:J47" si="5">H42/I42-1</f>
        <v>0</v>
      </c>
    </row>
    <row r="43" spans="2:10" x14ac:dyDescent="0.25">
      <c r="B43" s="251" t="s">
        <v>368</v>
      </c>
      <c r="C43" s="233">
        <f>SUM(C31:C42)</f>
        <v>2231550.4169999999</v>
      </c>
      <c r="D43" s="233">
        <f>SUM(D31:D42)</f>
        <v>2251263.7850000001</v>
      </c>
      <c r="E43" s="210">
        <f t="shared" si="3"/>
        <v>-8.7565784744324526E-3</v>
      </c>
      <c r="G43" s="250" t="s">
        <v>303</v>
      </c>
      <c r="H43" s="239">
        <v>98715</v>
      </c>
      <c r="I43" s="239">
        <v>98715</v>
      </c>
      <c r="J43" s="245">
        <f t="shared" si="5"/>
        <v>0</v>
      </c>
    </row>
    <row r="44" spans="2:10" x14ac:dyDescent="0.25">
      <c r="B44" s="251"/>
      <c r="C44" s="239"/>
      <c r="D44" s="239"/>
      <c r="E44" s="210"/>
      <c r="G44" s="250" t="s">
        <v>327</v>
      </c>
      <c r="H44" s="239">
        <v>374776</v>
      </c>
      <c r="I44" s="239">
        <v>335843</v>
      </c>
      <c r="J44" s="245">
        <f t="shared" si="5"/>
        <v>0.1159261917026706</v>
      </c>
    </row>
    <row r="45" spans="2:10" x14ac:dyDescent="0.25">
      <c r="B45" s="251" t="s">
        <v>301</v>
      </c>
      <c r="C45" s="239"/>
      <c r="D45" s="239"/>
      <c r="E45" s="210"/>
      <c r="G45" s="250" t="s">
        <v>328</v>
      </c>
      <c r="H45" s="239">
        <v>306718</v>
      </c>
      <c r="I45" s="239">
        <v>324516</v>
      </c>
      <c r="J45" s="245">
        <f t="shared" si="5"/>
        <v>-5.484475341739703E-2</v>
      </c>
    </row>
    <row r="46" spans="2:10" ht="14.4" thickBot="1" x14ac:dyDescent="0.3">
      <c r="B46" s="249" t="s">
        <v>302</v>
      </c>
      <c r="C46" s="239">
        <v>9901.3549999999996</v>
      </c>
      <c r="D46" s="239">
        <v>9901.3549999999996</v>
      </c>
      <c r="E46" s="212">
        <f>C46/D46-1</f>
        <v>0</v>
      </c>
      <c r="G46" s="250" t="s">
        <v>369</v>
      </c>
      <c r="H46" s="239">
        <v>28444</v>
      </c>
      <c r="I46" s="239">
        <v>28633</v>
      </c>
      <c r="J46" s="245">
        <f t="shared" si="5"/>
        <v>-6.6007753291656979E-3</v>
      </c>
    </row>
    <row r="47" spans="2:10" ht="14.4" thickBot="1" x14ac:dyDescent="0.3">
      <c r="B47" s="249" t="s">
        <v>303</v>
      </c>
      <c r="C47" s="239">
        <v>115392.414</v>
      </c>
      <c r="D47" s="239">
        <v>115392.414</v>
      </c>
      <c r="E47" s="212">
        <f>C47/D47-1</f>
        <v>0</v>
      </c>
      <c r="G47" s="244" t="s">
        <v>335</v>
      </c>
      <c r="H47" s="241">
        <f>SUM(H42:H46)</f>
        <v>825753</v>
      </c>
      <c r="I47" s="241">
        <f>SUM(I42:I46)</f>
        <v>804807</v>
      </c>
      <c r="J47" s="242">
        <f t="shared" si="5"/>
        <v>2.6026115578020592E-2</v>
      </c>
    </row>
    <row r="48" spans="2:10" ht="14.4" thickBot="1" x14ac:dyDescent="0.3">
      <c r="B48" s="249" t="s">
        <v>370</v>
      </c>
      <c r="C48" s="239">
        <v>67968.061000000002</v>
      </c>
      <c r="D48" s="239">
        <v>62872.101999999999</v>
      </c>
      <c r="E48" s="212">
        <f>-(C48/D48-1)</f>
        <v>-8.1052785542306216E-2</v>
      </c>
      <c r="J48" s="24"/>
    </row>
    <row r="49" spans="2:10" x14ac:dyDescent="0.25">
      <c r="B49" s="249" t="s">
        <v>328</v>
      </c>
      <c r="C49" s="239">
        <v>54735.983</v>
      </c>
      <c r="D49" s="239">
        <v>55058.784</v>
      </c>
      <c r="E49" s="212">
        <f>-(C49/D49-1)</f>
        <v>5.8628428844341718E-3</v>
      </c>
      <c r="G49" s="776" t="s">
        <v>371</v>
      </c>
      <c r="H49" s="777"/>
      <c r="I49" s="777"/>
      <c r="J49" s="778"/>
    </row>
    <row r="50" spans="2:10" ht="14.4" thickBot="1" x14ac:dyDescent="0.3">
      <c r="B50" s="249" t="s">
        <v>372</v>
      </c>
      <c r="C50" s="239">
        <v>971.12300000000005</v>
      </c>
      <c r="D50" s="239">
        <v>581.05899999999997</v>
      </c>
      <c r="E50" s="212">
        <f>-(C50/D50-1)</f>
        <v>-0.67129843957326218</v>
      </c>
      <c r="G50" s="764" t="s">
        <v>277</v>
      </c>
      <c r="H50" s="765"/>
      <c r="I50" s="765"/>
      <c r="J50" s="766"/>
    </row>
    <row r="51" spans="2:10" ht="14.4" thickBot="1" x14ac:dyDescent="0.3">
      <c r="B51" s="252" t="s">
        <v>373</v>
      </c>
      <c r="C51" s="241">
        <f>SUM(C46:C50)</f>
        <v>248968.93600000002</v>
      </c>
      <c r="D51" s="241">
        <f>SUM(D46:D50)</f>
        <v>243805.71399999998</v>
      </c>
      <c r="E51" s="205">
        <f>C51/D51-1</f>
        <v>2.1177608659328051E-2</v>
      </c>
      <c r="G51" s="253"/>
      <c r="H51" s="217" t="s">
        <v>310</v>
      </c>
      <c r="I51" s="217" t="s">
        <v>339</v>
      </c>
      <c r="J51" s="254"/>
    </row>
    <row r="52" spans="2:10" ht="14.4" thickBot="1" x14ac:dyDescent="0.3">
      <c r="E52" s="24"/>
      <c r="G52" s="255"/>
      <c r="H52" s="256" t="s">
        <v>278</v>
      </c>
      <c r="I52" s="256" t="s">
        <v>278</v>
      </c>
      <c r="J52" s="257"/>
    </row>
    <row r="53" spans="2:10" x14ac:dyDescent="0.25">
      <c r="B53" s="767" t="s">
        <v>374</v>
      </c>
      <c r="C53" s="767"/>
      <c r="D53" s="767"/>
      <c r="E53" s="768"/>
      <c r="G53" s="258"/>
      <c r="H53" s="259"/>
      <c r="I53" s="259"/>
      <c r="J53" s="201"/>
    </row>
    <row r="54" spans="2:10" ht="14.4" thickBot="1" x14ac:dyDescent="0.3">
      <c r="B54" s="769" t="s">
        <v>277</v>
      </c>
      <c r="C54" s="769"/>
      <c r="D54" s="769"/>
      <c r="E54" s="770"/>
      <c r="G54" s="260" t="s">
        <v>306</v>
      </c>
      <c r="H54" s="261">
        <v>780.78</v>
      </c>
      <c r="I54" s="261">
        <v>72.438000000000002</v>
      </c>
      <c r="J54" s="203">
        <f>H54/I54-1</f>
        <v>9.7785968690466323</v>
      </c>
    </row>
    <row r="55" spans="2:10" x14ac:dyDescent="0.25">
      <c r="B55" s="262"/>
      <c r="C55" s="217" t="s">
        <v>310</v>
      </c>
      <c r="D55" s="217" t="s">
        <v>339</v>
      </c>
      <c r="E55" s="263"/>
      <c r="G55" s="264" t="s">
        <v>307</v>
      </c>
      <c r="H55" s="265">
        <v>-486.541</v>
      </c>
      <c r="I55" s="265">
        <v>-53.741</v>
      </c>
      <c r="J55" s="210"/>
    </row>
    <row r="56" spans="2:10" ht="14.4" thickBot="1" x14ac:dyDescent="0.3">
      <c r="B56" s="266"/>
      <c r="C56" s="267" t="s">
        <v>278</v>
      </c>
      <c r="D56" s="267" t="s">
        <v>278</v>
      </c>
      <c r="E56" s="268"/>
      <c r="G56" s="260" t="s">
        <v>375</v>
      </c>
      <c r="H56" s="261">
        <v>145.78200000000001</v>
      </c>
      <c r="I56" s="261">
        <v>-409.233</v>
      </c>
      <c r="J56" s="203">
        <f>-(H56/I56-1)</f>
        <v>1.3562322686586858</v>
      </c>
    </row>
    <row r="57" spans="2:10" ht="14.4" thickBot="1" x14ac:dyDescent="0.3">
      <c r="B57" s="269"/>
      <c r="C57" s="270"/>
      <c r="D57" s="270"/>
      <c r="E57" s="271"/>
      <c r="G57" s="264" t="s">
        <v>281</v>
      </c>
      <c r="H57" s="265">
        <v>-16.242999999999999</v>
      </c>
      <c r="I57" s="265">
        <v>0</v>
      </c>
      <c r="J57" s="203"/>
    </row>
    <row r="58" spans="2:10" ht="14.4" thickBot="1" x14ac:dyDescent="0.3">
      <c r="B58" s="272" t="s">
        <v>306</v>
      </c>
      <c r="C58" s="247">
        <v>3635.0079999999998</v>
      </c>
      <c r="D58" s="247">
        <v>3355.6869999999999</v>
      </c>
      <c r="E58" s="273">
        <f>C58/D58-1</f>
        <v>8.3238096997723554E-2</v>
      </c>
      <c r="G58" s="260" t="s">
        <v>376</v>
      </c>
      <c r="H58" s="274">
        <f>H56+H57</f>
        <v>129.53900000000002</v>
      </c>
      <c r="I58" s="274">
        <f>I56+I57</f>
        <v>-409.233</v>
      </c>
      <c r="J58" s="205">
        <f>-(H58/I58-1)</f>
        <v>1.3165409436677882</v>
      </c>
    </row>
    <row r="59" spans="2:10" ht="14.4" thickBot="1" x14ac:dyDescent="0.3">
      <c r="B59" s="275" t="s">
        <v>377</v>
      </c>
      <c r="C59" s="276">
        <v>-3233.7339999999999</v>
      </c>
      <c r="D59" s="276">
        <v>-2947.165</v>
      </c>
      <c r="E59" s="273"/>
      <c r="G59" s="277" t="s">
        <v>283</v>
      </c>
      <c r="H59" s="265"/>
      <c r="I59" s="265"/>
      <c r="J59" s="203"/>
    </row>
    <row r="60" spans="2:10" x14ac:dyDescent="0.25">
      <c r="B60" s="272" t="s">
        <v>308</v>
      </c>
      <c r="C60" s="247">
        <v>26.649000000000001</v>
      </c>
      <c r="D60" s="247">
        <v>190.02600000000001</v>
      </c>
      <c r="E60" s="273">
        <f>(C60/D60-1)</f>
        <v>-0.85976129582267691</v>
      </c>
      <c r="G60" s="278" t="s">
        <v>285</v>
      </c>
      <c r="H60" s="247" t="s">
        <v>340</v>
      </c>
      <c r="I60" s="247" t="s">
        <v>284</v>
      </c>
      <c r="J60" s="203"/>
    </row>
    <row r="61" spans="2:10" ht="14.4" thickBot="1" x14ac:dyDescent="0.3">
      <c r="B61" s="275" t="s">
        <v>378</v>
      </c>
      <c r="C61" s="279">
        <v>-8.5280000000000005</v>
      </c>
      <c r="D61" s="279">
        <v>-13.487</v>
      </c>
      <c r="E61" s="280"/>
      <c r="G61" s="278" t="s">
        <v>311</v>
      </c>
      <c r="H61" s="265"/>
      <c r="I61" s="265"/>
      <c r="J61" s="203"/>
    </row>
    <row r="62" spans="2:10" ht="14.4" thickBot="1" x14ac:dyDescent="0.3">
      <c r="B62" s="281" t="s">
        <v>309</v>
      </c>
      <c r="C62" s="282">
        <f>C60+C61</f>
        <v>18.121000000000002</v>
      </c>
      <c r="D62" s="282">
        <f>D60+D61</f>
        <v>176.53900000000002</v>
      </c>
      <c r="E62" s="283">
        <f>(C62/D62-1)</f>
        <v>-0.89735412571726358</v>
      </c>
      <c r="G62" s="284" t="s">
        <v>379</v>
      </c>
      <c r="H62" s="265">
        <v>46.973999999999997</v>
      </c>
      <c r="I62" s="265">
        <v>49.927999999999997</v>
      </c>
      <c r="J62" s="285">
        <f>H62/I62-1</f>
        <v>-5.9165197884954335E-2</v>
      </c>
    </row>
    <row r="63" spans="2:10" ht="14.4" thickBot="1" x14ac:dyDescent="0.3">
      <c r="B63" s="286" t="s">
        <v>283</v>
      </c>
      <c r="C63" s="287"/>
      <c r="D63" s="287"/>
      <c r="E63" s="280"/>
      <c r="G63" s="284" t="s">
        <v>291</v>
      </c>
      <c r="H63" s="265">
        <v>15.256</v>
      </c>
      <c r="I63" s="265">
        <v>16.388999999999999</v>
      </c>
      <c r="J63" s="285">
        <f>H63/I63-1</f>
        <v>-6.9131734700103697E-2</v>
      </c>
    </row>
    <row r="64" spans="2:10" x14ac:dyDescent="0.25">
      <c r="B64" s="288" t="s">
        <v>285</v>
      </c>
      <c r="C64" s="247" t="s">
        <v>340</v>
      </c>
      <c r="D64" s="247" t="s">
        <v>284</v>
      </c>
      <c r="E64" s="280"/>
      <c r="G64" s="284" t="s">
        <v>380</v>
      </c>
      <c r="H64" s="265">
        <v>130.393</v>
      </c>
      <c r="I64" s="265">
        <v>130.393</v>
      </c>
      <c r="J64" s="285">
        <f>H64/I64-1</f>
        <v>0</v>
      </c>
    </row>
    <row r="65" spans="2:10" x14ac:dyDescent="0.25">
      <c r="B65" s="288" t="s">
        <v>311</v>
      </c>
      <c r="C65" s="276"/>
      <c r="D65" s="276"/>
      <c r="E65" s="280"/>
      <c r="G65" s="284" t="s">
        <v>381</v>
      </c>
      <c r="H65" s="265">
        <v>480.28899999999999</v>
      </c>
      <c r="I65" s="265">
        <v>593.69000000000005</v>
      </c>
      <c r="J65" s="285">
        <f>H65/I65-1</f>
        <v>-0.19101046000437949</v>
      </c>
    </row>
    <row r="66" spans="2:10" x14ac:dyDescent="0.25">
      <c r="B66" s="289" t="s">
        <v>312</v>
      </c>
      <c r="C66" s="276">
        <v>772.31700000000001</v>
      </c>
      <c r="D66" s="276">
        <v>776.428</v>
      </c>
      <c r="E66" s="290">
        <f>C66/D66-1</f>
        <v>-5.2947601065391758E-3</v>
      </c>
      <c r="G66" s="278" t="s">
        <v>313</v>
      </c>
      <c r="H66" s="261">
        <f>SUM(H62:H65)</f>
        <v>672.91200000000003</v>
      </c>
      <c r="I66" s="261">
        <f>SUM(I62:I65)</f>
        <v>790.40000000000009</v>
      </c>
      <c r="J66" s="203">
        <f>H66/I66-1</f>
        <v>-0.14864372469635634</v>
      </c>
    </row>
    <row r="67" spans="2:10" x14ac:dyDescent="0.25">
      <c r="B67" s="289" t="s">
        <v>291</v>
      </c>
      <c r="C67" s="276">
        <v>82.314999999999998</v>
      </c>
      <c r="D67" s="276">
        <v>34.850999999999999</v>
      </c>
      <c r="E67" s="290">
        <v>1</v>
      </c>
      <c r="G67" s="284"/>
      <c r="H67" s="261"/>
      <c r="I67" s="261"/>
      <c r="J67" s="203"/>
    </row>
    <row r="68" spans="2:10" x14ac:dyDescent="0.25">
      <c r="B68" s="289" t="s">
        <v>331</v>
      </c>
      <c r="C68" s="276">
        <v>6.4809999999999999</v>
      </c>
      <c r="D68" s="276">
        <v>8.3330000000000002</v>
      </c>
      <c r="E68" s="290">
        <v>1</v>
      </c>
      <c r="G68" s="278" t="s">
        <v>314</v>
      </c>
      <c r="H68" s="265"/>
      <c r="I68" s="265"/>
      <c r="J68" s="285"/>
    </row>
    <row r="69" spans="2:10" x14ac:dyDescent="0.25">
      <c r="B69" s="288" t="s">
        <v>313</v>
      </c>
      <c r="C69" s="247">
        <f>SUM(C66:C68)</f>
        <v>861.11300000000006</v>
      </c>
      <c r="D69" s="247">
        <f>SUM(D66:D68)</f>
        <v>819.61199999999997</v>
      </c>
      <c r="E69" s="280">
        <f>C69/D69-1</f>
        <v>5.0634934578800861E-2</v>
      </c>
      <c r="G69" s="291" t="s">
        <v>315</v>
      </c>
      <c r="H69" s="265">
        <v>5660.1989999999996</v>
      </c>
      <c r="I69" s="265">
        <v>6084.5079999999998</v>
      </c>
      <c r="J69" s="285">
        <f t="shared" ref="J69:J75" si="6">H69/I69-1</f>
        <v>-6.9735958930450925E-2</v>
      </c>
    </row>
    <row r="70" spans="2:10" x14ac:dyDescent="0.25">
      <c r="B70" s="288"/>
      <c r="C70" s="247"/>
      <c r="D70" s="247"/>
      <c r="E70" s="280"/>
      <c r="G70" s="284" t="s">
        <v>316</v>
      </c>
      <c r="H70" s="265">
        <v>2152.6590000000001</v>
      </c>
      <c r="I70" s="265">
        <v>2659.4140000000002</v>
      </c>
      <c r="J70" s="285">
        <f t="shared" si="6"/>
        <v>-0.19055137710788916</v>
      </c>
    </row>
    <row r="71" spans="2:10" x14ac:dyDescent="0.25">
      <c r="B71" s="288" t="s">
        <v>314</v>
      </c>
      <c r="C71" s="247"/>
      <c r="D71" s="247"/>
      <c r="E71" s="280"/>
      <c r="G71" s="284" t="s">
        <v>382</v>
      </c>
      <c r="H71" s="265">
        <v>96.908000000000001</v>
      </c>
      <c r="I71" s="265">
        <v>96.908000000000001</v>
      </c>
      <c r="J71" s="285">
        <f t="shared" si="6"/>
        <v>0</v>
      </c>
    </row>
    <row r="72" spans="2:10" x14ac:dyDescent="0.25">
      <c r="B72" s="289" t="s">
        <v>315</v>
      </c>
      <c r="C72" s="276">
        <v>10530.848</v>
      </c>
      <c r="D72" s="276">
        <v>8581.643</v>
      </c>
      <c r="E72" s="290">
        <f t="shared" ref="E72:E79" si="7">C72/D72-1</f>
        <v>0.22713657512902841</v>
      </c>
      <c r="G72" s="284" t="s">
        <v>383</v>
      </c>
      <c r="H72" s="265">
        <v>2552.3939999999998</v>
      </c>
      <c r="I72" s="265">
        <v>1878.32</v>
      </c>
      <c r="J72" s="285">
        <f t="shared" si="6"/>
        <v>0.35887069295966612</v>
      </c>
    </row>
    <row r="73" spans="2:10" x14ac:dyDescent="0.25">
      <c r="B73" s="289" t="s">
        <v>316</v>
      </c>
      <c r="C73" s="276">
        <v>550.50300000000004</v>
      </c>
      <c r="D73" s="276">
        <v>982.11199999999997</v>
      </c>
      <c r="E73" s="290">
        <f t="shared" si="7"/>
        <v>-0.43947024371965715</v>
      </c>
      <c r="G73" s="284" t="s">
        <v>384</v>
      </c>
      <c r="H73" s="265">
        <v>8087.8069999999998</v>
      </c>
      <c r="I73" s="265">
        <v>8086.6819999999998</v>
      </c>
      <c r="J73" s="285">
        <f t="shared" si="6"/>
        <v>1.3911762574569941E-4</v>
      </c>
    </row>
    <row r="74" spans="2:10" x14ac:dyDescent="0.25">
      <c r="B74" s="289" t="s">
        <v>385</v>
      </c>
      <c r="C74" s="276">
        <v>3.0760000000000001</v>
      </c>
      <c r="D74" s="276">
        <v>3.327</v>
      </c>
      <c r="E74" s="290">
        <f t="shared" si="7"/>
        <v>-7.5443342350465903E-2</v>
      </c>
      <c r="G74" s="278" t="s">
        <v>318</v>
      </c>
      <c r="H74" s="261">
        <f>SUM(H69:H73)</f>
        <v>18549.967000000001</v>
      </c>
      <c r="I74" s="261">
        <f>SUM(I69:I73)</f>
        <v>18805.831999999999</v>
      </c>
      <c r="J74" s="203">
        <f t="shared" si="6"/>
        <v>-1.3605619788584655E-2</v>
      </c>
    </row>
    <row r="75" spans="2:10" x14ac:dyDescent="0.25">
      <c r="B75" s="289" t="s">
        <v>386</v>
      </c>
      <c r="C75" s="276">
        <v>89.171000000000006</v>
      </c>
      <c r="D75" s="276">
        <v>81.147000000000006</v>
      </c>
      <c r="E75" s="290">
        <f t="shared" si="7"/>
        <v>9.8882275376785289E-2</v>
      </c>
      <c r="G75" s="278" t="s">
        <v>319</v>
      </c>
      <c r="H75" s="261">
        <f>H66+H74</f>
        <v>19222.879000000001</v>
      </c>
      <c r="I75" s="261">
        <f>I66+I74</f>
        <v>19596.232</v>
      </c>
      <c r="J75" s="203">
        <f t="shared" si="6"/>
        <v>-1.9052285153594806E-2</v>
      </c>
    </row>
    <row r="76" spans="2:10" x14ac:dyDescent="0.25">
      <c r="B76" s="289" t="s">
        <v>387</v>
      </c>
      <c r="C76" s="276">
        <v>17.283000000000001</v>
      </c>
      <c r="D76" s="276">
        <v>17.283000000000001</v>
      </c>
      <c r="E76" s="290">
        <f t="shared" si="7"/>
        <v>0</v>
      </c>
      <c r="G76" s="278"/>
      <c r="H76" s="261"/>
      <c r="I76" s="261"/>
      <c r="J76" s="203"/>
    </row>
    <row r="77" spans="2:10" x14ac:dyDescent="0.25">
      <c r="B77" s="289" t="s">
        <v>388</v>
      </c>
      <c r="C77" s="276">
        <v>630.80100000000004</v>
      </c>
      <c r="D77" s="276">
        <v>342.61099999999999</v>
      </c>
      <c r="E77" s="290">
        <f t="shared" si="7"/>
        <v>0.84115804804866179</v>
      </c>
      <c r="G77" s="278" t="s">
        <v>294</v>
      </c>
      <c r="H77" s="261"/>
      <c r="I77" s="261"/>
      <c r="J77" s="203"/>
    </row>
    <row r="78" spans="2:10" x14ac:dyDescent="0.25">
      <c r="B78" s="288" t="s">
        <v>318</v>
      </c>
      <c r="C78" s="247">
        <f>SUM(C72:C77)</f>
        <v>11821.681999999999</v>
      </c>
      <c r="D78" s="247">
        <f>SUM(D72:D77)</f>
        <v>10008.123</v>
      </c>
      <c r="E78" s="280">
        <f t="shared" si="7"/>
        <v>0.18120870416960289</v>
      </c>
      <c r="G78" s="278" t="s">
        <v>320</v>
      </c>
      <c r="H78" s="261"/>
      <c r="I78" s="261"/>
      <c r="J78" s="203"/>
    </row>
    <row r="79" spans="2:10" x14ac:dyDescent="0.25">
      <c r="B79" s="288" t="s">
        <v>389</v>
      </c>
      <c r="C79" s="247">
        <f>C78+C69</f>
        <v>12682.794999999998</v>
      </c>
      <c r="D79" s="247">
        <f>D78+D69</f>
        <v>10827.734999999999</v>
      </c>
      <c r="E79" s="280">
        <f t="shared" si="7"/>
        <v>0.17132484309968787</v>
      </c>
      <c r="G79" s="284" t="s">
        <v>390</v>
      </c>
      <c r="H79" s="265">
        <v>5511.6530000000002</v>
      </c>
      <c r="I79" s="265">
        <v>5511.6530000000002</v>
      </c>
      <c r="J79" s="285">
        <f>H79/I79-1</f>
        <v>0</v>
      </c>
    </row>
    <row r="80" spans="2:10" x14ac:dyDescent="0.25">
      <c r="B80" s="288"/>
      <c r="C80" s="247"/>
      <c r="D80" s="247"/>
      <c r="E80" s="280"/>
      <c r="G80" s="284" t="s">
        <v>391</v>
      </c>
      <c r="H80" s="265">
        <v>72.537000000000006</v>
      </c>
      <c r="I80" s="265">
        <v>75.537000000000006</v>
      </c>
      <c r="J80" s="285">
        <f>H80/I80-1</f>
        <v>-3.9715636045911218E-2</v>
      </c>
    </row>
    <row r="81" spans="2:10" x14ac:dyDescent="0.25">
      <c r="B81" s="288" t="s">
        <v>392</v>
      </c>
      <c r="C81" s="247"/>
      <c r="D81" s="247"/>
      <c r="E81" s="280"/>
      <c r="G81" s="278" t="s">
        <v>322</v>
      </c>
      <c r="H81" s="261">
        <f>SUM(H79:H80)</f>
        <v>5584.1900000000005</v>
      </c>
      <c r="I81" s="261">
        <f>SUM(I79:I80)</f>
        <v>5587.1900000000005</v>
      </c>
      <c r="J81" s="203">
        <f>H81/I81-1</f>
        <v>-5.3694254177860667E-4</v>
      </c>
    </row>
    <row r="82" spans="2:10" x14ac:dyDescent="0.25">
      <c r="B82" s="288" t="s">
        <v>320</v>
      </c>
      <c r="C82" s="247"/>
      <c r="D82" s="247"/>
      <c r="E82" s="280"/>
      <c r="G82" s="284"/>
      <c r="H82" s="261"/>
      <c r="I82" s="261"/>
      <c r="J82" s="203"/>
    </row>
    <row r="83" spans="2:10" x14ac:dyDescent="0.25">
      <c r="B83" s="289" t="s">
        <v>393</v>
      </c>
      <c r="C83" s="276">
        <v>42.003999999999998</v>
      </c>
      <c r="D83" s="276">
        <v>42.003999999999998</v>
      </c>
      <c r="E83" s="290">
        <v>0</v>
      </c>
      <c r="G83" s="278" t="s">
        <v>323</v>
      </c>
      <c r="H83" s="265"/>
      <c r="I83" s="265"/>
      <c r="J83" s="285"/>
    </row>
    <row r="84" spans="2:10" x14ac:dyDescent="0.25">
      <c r="B84" s="288" t="s">
        <v>322</v>
      </c>
      <c r="C84" s="247">
        <f>SUM(C83)</f>
        <v>42.003999999999998</v>
      </c>
      <c r="D84" s="247">
        <f>SUM(D83)</f>
        <v>42.003999999999998</v>
      </c>
      <c r="E84" s="280">
        <v>0</v>
      </c>
      <c r="G84" s="284" t="s">
        <v>325</v>
      </c>
      <c r="H84" s="265">
        <v>3896.0659999999998</v>
      </c>
      <c r="I84" s="265">
        <v>4309.2719999999999</v>
      </c>
      <c r="J84" s="285">
        <f t="shared" ref="J84:J90" si="8">H84/I84-1</f>
        <v>-9.5887658054539138E-2</v>
      </c>
    </row>
    <row r="85" spans="2:10" x14ac:dyDescent="0.25">
      <c r="B85" s="289"/>
      <c r="C85" s="247"/>
      <c r="D85" s="247"/>
      <c r="E85" s="280"/>
      <c r="G85" s="284" t="s">
        <v>394</v>
      </c>
      <c r="H85" s="265">
        <v>162.02799999999999</v>
      </c>
      <c r="I85" s="265">
        <v>145.78399999999999</v>
      </c>
      <c r="J85" s="285">
        <f t="shared" si="8"/>
        <v>0.11142512209844702</v>
      </c>
    </row>
    <row r="86" spans="2:10" x14ac:dyDescent="0.25">
      <c r="B86" s="288" t="s">
        <v>395</v>
      </c>
      <c r="C86" s="276"/>
      <c r="D86" s="276"/>
      <c r="E86" s="280"/>
      <c r="G86" s="284" t="s">
        <v>396</v>
      </c>
      <c r="H86" s="265">
        <v>252.411</v>
      </c>
      <c r="I86" s="265">
        <v>252.411</v>
      </c>
      <c r="J86" s="285">
        <f t="shared" si="8"/>
        <v>0</v>
      </c>
    </row>
    <row r="87" spans="2:10" x14ac:dyDescent="0.25">
      <c r="B87" s="289" t="s">
        <v>325</v>
      </c>
      <c r="C87" s="276">
        <v>846.52</v>
      </c>
      <c r="D87" s="276">
        <v>716.51700000000005</v>
      </c>
      <c r="E87" s="290">
        <f t="shared" ref="E87:E93" si="9">C87/D87-1</f>
        <v>0.1814374257693816</v>
      </c>
      <c r="G87" s="284" t="s">
        <v>326</v>
      </c>
      <c r="H87" s="265">
        <v>98.61</v>
      </c>
      <c r="I87" s="265">
        <v>98.61</v>
      </c>
      <c r="J87" s="285">
        <f t="shared" si="8"/>
        <v>0</v>
      </c>
    </row>
    <row r="88" spans="2:10" x14ac:dyDescent="0.25">
      <c r="B88" s="289" t="s">
        <v>397</v>
      </c>
      <c r="C88" s="276">
        <v>3.4009999999999998</v>
      </c>
      <c r="D88" s="276">
        <v>3.69</v>
      </c>
      <c r="E88" s="290">
        <f t="shared" si="9"/>
        <v>-7.831978319783206E-2</v>
      </c>
      <c r="G88" s="284" t="s">
        <v>398</v>
      </c>
      <c r="H88" s="265">
        <v>1204.096</v>
      </c>
      <c r="I88" s="265">
        <v>1187.8969999999999</v>
      </c>
      <c r="J88" s="285">
        <f t="shared" si="8"/>
        <v>1.3636704192366844E-2</v>
      </c>
    </row>
    <row r="89" spans="2:10" x14ac:dyDescent="0.25">
      <c r="B89" s="289" t="s">
        <v>399</v>
      </c>
      <c r="C89" s="276">
        <v>102.119</v>
      </c>
      <c r="D89" s="276">
        <v>93.590999999999994</v>
      </c>
      <c r="E89" s="290">
        <f t="shared" si="9"/>
        <v>9.1119872637326349E-2</v>
      </c>
      <c r="G89" s="278" t="s">
        <v>336</v>
      </c>
      <c r="H89" s="261">
        <f>SUM(H84:H88)</f>
        <v>5613.2109999999993</v>
      </c>
      <c r="I89" s="261">
        <f>SUM(I84:I88)</f>
        <v>5993.9739999999993</v>
      </c>
      <c r="J89" s="203">
        <f t="shared" si="8"/>
        <v>-6.352429957153638E-2</v>
      </c>
    </row>
    <row r="90" spans="2:10" x14ac:dyDescent="0.25">
      <c r="B90" s="289" t="s">
        <v>396</v>
      </c>
      <c r="C90" s="276">
        <v>17.384</v>
      </c>
      <c r="D90" s="276">
        <v>17.384</v>
      </c>
      <c r="E90" s="290">
        <f t="shared" si="9"/>
        <v>0</v>
      </c>
      <c r="G90" s="278" t="s">
        <v>300</v>
      </c>
      <c r="H90" s="261">
        <f>H89+H81</f>
        <v>11197.401</v>
      </c>
      <c r="I90" s="261">
        <f>I89+I81</f>
        <v>11581.164000000001</v>
      </c>
      <c r="J90" s="203">
        <f t="shared" si="8"/>
        <v>-3.3136824588616554E-2</v>
      </c>
    </row>
    <row r="91" spans="2:10" x14ac:dyDescent="0.25">
      <c r="B91" s="289" t="s">
        <v>400</v>
      </c>
      <c r="C91" s="276">
        <v>9150.77</v>
      </c>
      <c r="D91" s="276">
        <v>7452.0739999999996</v>
      </c>
      <c r="E91" s="290">
        <f t="shared" si="9"/>
        <v>0.22794942723327782</v>
      </c>
      <c r="G91" s="278"/>
      <c r="H91" s="265"/>
      <c r="I91" s="265"/>
      <c r="J91" s="203"/>
    </row>
    <row r="92" spans="2:10" x14ac:dyDescent="0.25">
      <c r="B92" s="288" t="s">
        <v>336</v>
      </c>
      <c r="C92" s="247">
        <f>SUM(C87:C91)</f>
        <v>10120.194</v>
      </c>
      <c r="D92" s="247">
        <f>SUM(D87:D91)</f>
        <v>8283.2559999999994</v>
      </c>
      <c r="E92" s="280">
        <f t="shared" si="9"/>
        <v>0.22176520923656118</v>
      </c>
      <c r="G92" s="278" t="s">
        <v>301</v>
      </c>
      <c r="H92" s="265"/>
      <c r="I92" s="265"/>
      <c r="J92" s="203"/>
    </row>
    <row r="93" spans="2:10" x14ac:dyDescent="0.25">
      <c r="B93" s="288" t="s">
        <v>401</v>
      </c>
      <c r="C93" s="247">
        <f>C92+C84</f>
        <v>10162.198</v>
      </c>
      <c r="D93" s="247">
        <f>D92+D84</f>
        <v>8325.26</v>
      </c>
      <c r="E93" s="280">
        <f t="shared" si="9"/>
        <v>0.22064632215690572</v>
      </c>
      <c r="G93" s="284" t="s">
        <v>302</v>
      </c>
      <c r="H93" s="265">
        <v>9279.9850000000006</v>
      </c>
      <c r="I93" s="265">
        <v>9279.9850000000006</v>
      </c>
      <c r="J93" s="285">
        <f t="shared" ref="J93:J99" si="10">H93/I93-1</f>
        <v>0</v>
      </c>
    </row>
    <row r="94" spans="2:10" x14ac:dyDescent="0.25">
      <c r="B94" s="288"/>
      <c r="C94" s="247"/>
      <c r="D94" s="247"/>
      <c r="E94" s="280"/>
      <c r="G94" s="284" t="s">
        <v>303</v>
      </c>
      <c r="H94" s="265">
        <v>8971.5509999999995</v>
      </c>
      <c r="I94" s="265">
        <v>8971.5509999999995</v>
      </c>
      <c r="J94" s="285">
        <f t="shared" si="10"/>
        <v>0</v>
      </c>
    </row>
    <row r="95" spans="2:10" x14ac:dyDescent="0.25">
      <c r="B95" s="288" t="s">
        <v>402</v>
      </c>
      <c r="C95" s="247"/>
      <c r="D95" s="247"/>
      <c r="E95" s="280"/>
      <c r="G95" s="284" t="s">
        <v>403</v>
      </c>
      <c r="H95" s="265">
        <v>-86.718000000000004</v>
      </c>
      <c r="I95" s="265">
        <v>26.683</v>
      </c>
      <c r="J95" s="285">
        <f t="shared" si="10"/>
        <v>-4.2499344151707081</v>
      </c>
    </row>
    <row r="96" spans="2:10" x14ac:dyDescent="0.25">
      <c r="B96" s="289" t="s">
        <v>404</v>
      </c>
      <c r="C96" s="276">
        <v>1500</v>
      </c>
      <c r="D96" s="276">
        <v>1500</v>
      </c>
      <c r="E96" s="290">
        <f>C96/D96-1</f>
        <v>0</v>
      </c>
      <c r="G96" s="284" t="s">
        <v>328</v>
      </c>
      <c r="H96" s="265">
        <v>391.42</v>
      </c>
      <c r="I96" s="265">
        <v>391.42</v>
      </c>
      <c r="J96" s="285">
        <f t="shared" si="10"/>
        <v>0</v>
      </c>
    </row>
    <row r="97" spans="2:10" x14ac:dyDescent="0.25">
      <c r="B97" s="289" t="s">
        <v>303</v>
      </c>
      <c r="C97" s="276">
        <v>693.34400000000005</v>
      </c>
      <c r="D97" s="276">
        <v>693.34400000000005</v>
      </c>
      <c r="E97" s="290">
        <f>C97/D97-1</f>
        <v>0</v>
      </c>
      <c r="G97" s="284" t="s">
        <v>405</v>
      </c>
      <c r="H97" s="265">
        <v>-10548.994000000001</v>
      </c>
      <c r="I97" s="265">
        <v>-10654.133</v>
      </c>
      <c r="J97" s="285">
        <f t="shared" si="10"/>
        <v>-9.8683769012456457E-3</v>
      </c>
    </row>
    <row r="98" spans="2:10" ht="14.4" thickBot="1" x14ac:dyDescent="0.3">
      <c r="B98" s="289" t="s">
        <v>327</v>
      </c>
      <c r="C98" s="276">
        <v>327.25299999999999</v>
      </c>
      <c r="D98" s="276">
        <v>309.13099999999997</v>
      </c>
      <c r="E98" s="290">
        <f>C98/D98-1</f>
        <v>5.8622396330358484E-2</v>
      </c>
      <c r="G98" s="284" t="s">
        <v>304</v>
      </c>
      <c r="H98" s="265">
        <v>18.234000000000002</v>
      </c>
      <c r="I98" s="265">
        <v>2.5619999999999998</v>
      </c>
      <c r="J98" s="285">
        <f t="shared" si="10"/>
        <v>6.1170960187353645</v>
      </c>
    </row>
    <row r="99" spans="2:10" ht="14.4" thickBot="1" x14ac:dyDescent="0.3">
      <c r="B99" s="292" t="s">
        <v>305</v>
      </c>
      <c r="C99" s="282">
        <f>SUM(C96:C98)</f>
        <v>2520.5970000000002</v>
      </c>
      <c r="D99" s="282">
        <f>SUM(D96:D98)</f>
        <v>2502.4749999999999</v>
      </c>
      <c r="E99" s="283">
        <f>C99/D99-1</f>
        <v>7.2416307855225348E-3</v>
      </c>
      <c r="G99" s="293" t="s">
        <v>305</v>
      </c>
      <c r="H99" s="274">
        <f>SUM(H93:H98)</f>
        <v>8025.4779999999973</v>
      </c>
      <c r="I99" s="274">
        <f>SUM(I93:I98)</f>
        <v>8018.0679999999993</v>
      </c>
      <c r="J99" s="205">
        <f t="shared" si="10"/>
        <v>9.2416277836471217E-4</v>
      </c>
    </row>
    <row r="100" spans="2:10" ht="14.4" thickBot="1" x14ac:dyDescent="0.3"/>
    <row r="101" spans="2:10" x14ac:dyDescent="0.25">
      <c r="B101" s="752" t="s">
        <v>406</v>
      </c>
      <c r="C101" s="753"/>
      <c r="D101" s="753"/>
      <c r="E101" s="754"/>
      <c r="G101" s="755" t="s">
        <v>407</v>
      </c>
      <c r="H101" s="756"/>
      <c r="I101" s="756"/>
      <c r="J101" s="757"/>
    </row>
    <row r="102" spans="2:10" ht="14.4" thickBot="1" x14ac:dyDescent="0.3">
      <c r="B102" s="758" t="s">
        <v>277</v>
      </c>
      <c r="C102" s="759"/>
      <c r="D102" s="759"/>
      <c r="E102" s="760"/>
      <c r="G102" s="727" t="s">
        <v>277</v>
      </c>
      <c r="H102" s="728"/>
      <c r="I102" s="728"/>
      <c r="J102" s="729"/>
    </row>
    <row r="103" spans="2:10" x14ac:dyDescent="0.25">
      <c r="B103" s="294" t="s">
        <v>408</v>
      </c>
      <c r="C103" s="295">
        <v>2022</v>
      </c>
      <c r="D103" s="296">
        <v>2021</v>
      </c>
      <c r="E103" s="297" t="s">
        <v>408</v>
      </c>
      <c r="G103" s="298"/>
      <c r="H103" s="195">
        <v>2022</v>
      </c>
      <c r="I103" s="195">
        <v>2021</v>
      </c>
      <c r="J103" s="196"/>
    </row>
    <row r="104" spans="2:10" ht="14.4" thickBot="1" x14ac:dyDescent="0.3">
      <c r="B104" s="299" t="s">
        <v>408</v>
      </c>
      <c r="C104" s="300" t="s">
        <v>278</v>
      </c>
      <c r="D104" s="300" t="s">
        <v>278</v>
      </c>
      <c r="E104" s="301" t="s">
        <v>408</v>
      </c>
      <c r="G104" s="302"/>
      <c r="H104" s="169" t="s">
        <v>278</v>
      </c>
      <c r="I104" s="169" t="s">
        <v>278</v>
      </c>
      <c r="J104" s="170"/>
    </row>
    <row r="105" spans="2:10" x14ac:dyDescent="0.25">
      <c r="B105" s="303" t="s">
        <v>409</v>
      </c>
      <c r="C105" s="304">
        <v>137772</v>
      </c>
      <c r="D105" s="304">
        <v>105676</v>
      </c>
      <c r="E105" s="305">
        <f>C105/D105-1</f>
        <v>0.30372080699496573</v>
      </c>
      <c r="G105" s="306" t="s">
        <v>306</v>
      </c>
      <c r="H105" s="206">
        <v>3320.26</v>
      </c>
      <c r="I105" s="206">
        <v>2375.7730000000001</v>
      </c>
      <c r="J105" s="203">
        <f>H105/I105-1</f>
        <v>0.39754934499213523</v>
      </c>
    </row>
    <row r="106" spans="2:10" x14ac:dyDescent="0.25">
      <c r="B106" s="307" t="s">
        <v>307</v>
      </c>
      <c r="C106" s="308">
        <v>-75319</v>
      </c>
      <c r="D106" s="308">
        <v>-66004.762000000002</v>
      </c>
      <c r="E106" s="309" t="s">
        <v>408</v>
      </c>
      <c r="G106" s="310" t="s">
        <v>307</v>
      </c>
      <c r="H106" s="209">
        <v>-2024.4970000000001</v>
      </c>
      <c r="I106" s="209">
        <v>-1471.8630000000001</v>
      </c>
      <c r="J106" s="203"/>
    </row>
    <row r="107" spans="2:10" x14ac:dyDescent="0.25">
      <c r="B107" s="311" t="s">
        <v>308</v>
      </c>
      <c r="C107" s="304">
        <v>20763</v>
      </c>
      <c r="D107" s="304">
        <v>11514.253000000001</v>
      </c>
      <c r="E107" s="305">
        <f>C107/D107-1</f>
        <v>0.80324333675836357</v>
      </c>
      <c r="G107" s="306" t="s">
        <v>280</v>
      </c>
      <c r="H107" s="206">
        <v>786.35900000000015</v>
      </c>
      <c r="I107" s="206">
        <v>309.19000000000005</v>
      </c>
      <c r="J107" s="203">
        <f>(H107/I107-1)</f>
        <v>1.5432872990717681</v>
      </c>
    </row>
    <row r="108" spans="2:10" ht="14.4" thickBot="1" x14ac:dyDescent="0.3">
      <c r="B108" s="307" t="s">
        <v>281</v>
      </c>
      <c r="C108" s="308">
        <v>-7149</v>
      </c>
      <c r="D108" s="308">
        <v>-3855</v>
      </c>
      <c r="E108" s="309" t="s">
        <v>408</v>
      </c>
      <c r="G108" s="310" t="s">
        <v>410</v>
      </c>
      <c r="H108" s="209">
        <v>-232.16</v>
      </c>
      <c r="I108" s="209">
        <v>-97.253</v>
      </c>
      <c r="J108" s="203"/>
    </row>
    <row r="109" spans="2:10" ht="14.4" thickBot="1" x14ac:dyDescent="0.3">
      <c r="B109" s="303" t="s">
        <v>309</v>
      </c>
      <c r="C109" s="312">
        <f>SUM(C107:C108)</f>
        <v>13614</v>
      </c>
      <c r="D109" s="312">
        <f>SUM(D107:D108)</f>
        <v>7659.2530000000006</v>
      </c>
      <c r="E109" s="313">
        <f>C109/D109-1</f>
        <v>0.77745793225527327</v>
      </c>
      <c r="G109" s="314" t="s">
        <v>309</v>
      </c>
      <c r="H109" s="315">
        <v>554.19900000000018</v>
      </c>
      <c r="I109" s="315">
        <v>211.93700000000007</v>
      </c>
      <c r="J109" s="316">
        <f>(H109/I109-1)</f>
        <v>1.61492330267957</v>
      </c>
    </row>
    <row r="110" spans="2:10" ht="14.4" thickBot="1" x14ac:dyDescent="0.3">
      <c r="B110" s="317" t="s">
        <v>283</v>
      </c>
      <c r="C110" s="318" t="s">
        <v>408</v>
      </c>
      <c r="D110" s="318" t="s">
        <v>408</v>
      </c>
      <c r="E110" s="319" t="s">
        <v>408</v>
      </c>
      <c r="G110" s="320" t="s">
        <v>283</v>
      </c>
      <c r="H110" s="321"/>
      <c r="I110" s="322"/>
      <c r="J110" s="323"/>
    </row>
    <row r="111" spans="2:10" x14ac:dyDescent="0.25">
      <c r="B111" s="303" t="s">
        <v>285</v>
      </c>
      <c r="C111" s="319" t="s">
        <v>340</v>
      </c>
      <c r="D111" s="319" t="s">
        <v>284</v>
      </c>
      <c r="E111" s="319" t="s">
        <v>408</v>
      </c>
      <c r="G111" s="324" t="s">
        <v>285</v>
      </c>
      <c r="H111" s="319" t="s">
        <v>340</v>
      </c>
      <c r="I111" s="319" t="s">
        <v>284</v>
      </c>
      <c r="J111" s="203"/>
    </row>
    <row r="112" spans="2:10" x14ac:dyDescent="0.25">
      <c r="B112" s="303" t="s">
        <v>311</v>
      </c>
      <c r="C112" s="318" t="s">
        <v>408</v>
      </c>
      <c r="D112" s="318" t="s">
        <v>408</v>
      </c>
      <c r="E112" s="319" t="s">
        <v>408</v>
      </c>
      <c r="G112" s="325" t="s">
        <v>311</v>
      </c>
      <c r="H112" s="321"/>
      <c r="I112" s="326"/>
      <c r="J112" s="323"/>
    </row>
    <row r="113" spans="2:10" x14ac:dyDescent="0.25">
      <c r="B113" s="307" t="s">
        <v>379</v>
      </c>
      <c r="C113" s="308">
        <v>273107.674</v>
      </c>
      <c r="D113" s="308">
        <v>257216.81400000001</v>
      </c>
      <c r="E113" s="327">
        <f t="shared" ref="E113:E118" si="11">C113/D113-1</f>
        <v>6.1780020337239616E-2</v>
      </c>
      <c r="G113" s="310" t="s">
        <v>411</v>
      </c>
      <c r="H113" s="328">
        <v>9971.0519999999997</v>
      </c>
      <c r="I113" s="328">
        <v>9406.7270000000008</v>
      </c>
      <c r="J113" s="285">
        <f>H113/I113-1</f>
        <v>5.9991642151409286E-2</v>
      </c>
    </row>
    <row r="114" spans="2:10" x14ac:dyDescent="0.25">
      <c r="B114" s="307" t="s">
        <v>412</v>
      </c>
      <c r="C114" s="308">
        <v>9532.7890000000007</v>
      </c>
      <c r="D114" s="308">
        <v>12520.277</v>
      </c>
      <c r="E114" s="327">
        <f t="shared" si="11"/>
        <v>-0.23861197320155136</v>
      </c>
      <c r="G114" s="310" t="s">
        <v>292</v>
      </c>
      <c r="H114" s="328">
        <v>13.721</v>
      </c>
      <c r="I114" s="328">
        <v>13.721</v>
      </c>
      <c r="J114" s="285">
        <f t="shared" ref="J114:J115" si="12">H114/I114-1</f>
        <v>0</v>
      </c>
    </row>
    <row r="115" spans="2:10" x14ac:dyDescent="0.25">
      <c r="B115" s="307" t="s">
        <v>413</v>
      </c>
      <c r="C115" s="308">
        <v>93960.301999999996</v>
      </c>
      <c r="D115" s="308">
        <v>94334.331999999995</v>
      </c>
      <c r="E115" s="327">
        <f t="shared" si="11"/>
        <v>-3.9649403570272135E-3</v>
      </c>
      <c r="G115" s="306" t="s">
        <v>313</v>
      </c>
      <c r="H115" s="329">
        <f>SUM(H113:H114)</f>
        <v>9984.7729999999992</v>
      </c>
      <c r="I115" s="329">
        <f>SUM(I113:I114)</f>
        <v>9420.4480000000003</v>
      </c>
      <c r="J115" s="203">
        <f t="shared" si="12"/>
        <v>5.9904263576424199E-2</v>
      </c>
    </row>
    <row r="116" spans="2:10" x14ac:dyDescent="0.25">
      <c r="B116" s="307" t="s">
        <v>414</v>
      </c>
      <c r="C116" s="308">
        <v>150</v>
      </c>
      <c r="D116" s="308">
        <v>150</v>
      </c>
      <c r="E116" s="327">
        <f t="shared" si="11"/>
        <v>0</v>
      </c>
      <c r="G116" s="306"/>
      <c r="H116" s="329"/>
      <c r="I116" s="329"/>
      <c r="J116" s="203"/>
    </row>
    <row r="117" spans="2:10" x14ac:dyDescent="0.25">
      <c r="B117" s="307" t="s">
        <v>415</v>
      </c>
      <c r="C117" s="308">
        <v>1026.3030000000001</v>
      </c>
      <c r="D117" s="308">
        <v>1134.4590000000001</v>
      </c>
      <c r="E117" s="327">
        <f t="shared" si="11"/>
        <v>-9.5337072560577329E-2</v>
      </c>
      <c r="G117" s="306" t="s">
        <v>314</v>
      </c>
      <c r="H117" s="328"/>
      <c r="I117" s="328"/>
      <c r="J117" s="285"/>
    </row>
    <row r="118" spans="2:10" x14ac:dyDescent="0.25">
      <c r="B118" s="303" t="s">
        <v>313</v>
      </c>
      <c r="C118" s="304">
        <f>SUM(C113:C117)</f>
        <v>377777.06800000003</v>
      </c>
      <c r="D118" s="304">
        <f>SUM(D113:D117)</f>
        <v>365355.88199999998</v>
      </c>
      <c r="E118" s="305">
        <f t="shared" si="11"/>
        <v>3.3997498362432488E-2</v>
      </c>
      <c r="G118" s="310" t="s">
        <v>315</v>
      </c>
      <c r="H118" s="328">
        <v>1064.9359999999999</v>
      </c>
      <c r="I118" s="328">
        <v>1023.9690000000001</v>
      </c>
      <c r="J118" s="285">
        <f t="shared" ref="J118:J123" si="13">H118/I118-1</f>
        <v>4.0008047118613721E-2</v>
      </c>
    </row>
    <row r="119" spans="2:10" x14ac:dyDescent="0.25">
      <c r="B119" s="303" t="s">
        <v>408</v>
      </c>
      <c r="C119" s="308" t="s">
        <v>408</v>
      </c>
      <c r="D119" s="308" t="s">
        <v>408</v>
      </c>
      <c r="E119" s="319" t="s">
        <v>408</v>
      </c>
      <c r="G119" s="310" t="s">
        <v>316</v>
      </c>
      <c r="H119" s="328">
        <v>48.411999999999999</v>
      </c>
      <c r="I119" s="328">
        <v>110.129</v>
      </c>
      <c r="J119" s="285">
        <f t="shared" si="13"/>
        <v>-0.56040643245648281</v>
      </c>
    </row>
    <row r="120" spans="2:10" x14ac:dyDescent="0.25">
      <c r="B120" s="303" t="s">
        <v>314</v>
      </c>
      <c r="C120" s="308" t="s">
        <v>408</v>
      </c>
      <c r="D120" s="308" t="s">
        <v>408</v>
      </c>
      <c r="E120" s="319" t="s">
        <v>408</v>
      </c>
      <c r="G120" s="310" t="s">
        <v>416</v>
      </c>
      <c r="H120" s="328">
        <v>172.51900000000001</v>
      </c>
      <c r="I120" s="328">
        <v>60.244999999999997</v>
      </c>
      <c r="J120" s="285">
        <f t="shared" si="13"/>
        <v>1.8636235372230061</v>
      </c>
    </row>
    <row r="121" spans="2:10" x14ac:dyDescent="0.25">
      <c r="B121" s="307" t="s">
        <v>417</v>
      </c>
      <c r="C121" s="308">
        <v>68461.051000000007</v>
      </c>
      <c r="D121" s="308">
        <v>62191.51</v>
      </c>
      <c r="E121" s="327">
        <f t="shared" ref="E121:E127" si="14">C121/D121-1</f>
        <v>0.10081023921110788</v>
      </c>
      <c r="G121" s="310" t="s">
        <v>341</v>
      </c>
      <c r="H121" s="328">
        <v>3268.152</v>
      </c>
      <c r="I121" s="328">
        <v>2872.0239999999999</v>
      </c>
      <c r="J121" s="285">
        <f t="shared" si="13"/>
        <v>0.1379264240131699</v>
      </c>
    </row>
    <row r="122" spans="2:10" x14ac:dyDescent="0.25">
      <c r="B122" s="307" t="s">
        <v>316</v>
      </c>
      <c r="C122" s="308">
        <v>36515.838000000003</v>
      </c>
      <c r="D122" s="308">
        <v>26500.516</v>
      </c>
      <c r="E122" s="327">
        <f t="shared" si="14"/>
        <v>0.37792932031964988</v>
      </c>
      <c r="G122" s="306" t="s">
        <v>318</v>
      </c>
      <c r="H122" s="329">
        <f>SUM(H118:H121)</f>
        <v>4554.0190000000002</v>
      </c>
      <c r="I122" s="329">
        <f>SUM(I118:I121)</f>
        <v>4066.3669999999997</v>
      </c>
      <c r="J122" s="285">
        <f t="shared" si="13"/>
        <v>0.1199232631978373</v>
      </c>
    </row>
    <row r="123" spans="2:10" x14ac:dyDescent="0.25">
      <c r="B123" s="307" t="s">
        <v>386</v>
      </c>
      <c r="C123" s="308">
        <v>4015.143</v>
      </c>
      <c r="D123" s="308">
        <v>2852.8679999999999</v>
      </c>
      <c r="E123" s="327">
        <f t="shared" si="14"/>
        <v>0.40740581057378056</v>
      </c>
      <c r="G123" s="306" t="s">
        <v>319</v>
      </c>
      <c r="H123" s="329">
        <f>H122+H115</f>
        <v>14538.791999999999</v>
      </c>
      <c r="I123" s="329">
        <f>I122+I115</f>
        <v>13486.815000000001</v>
      </c>
      <c r="J123" s="203">
        <f t="shared" si="13"/>
        <v>7.8000402615443276E-2</v>
      </c>
    </row>
    <row r="124" spans="2:10" x14ac:dyDescent="0.25">
      <c r="B124" s="307" t="s">
        <v>418</v>
      </c>
      <c r="C124" s="308">
        <v>11554.507</v>
      </c>
      <c r="D124" s="308">
        <v>11891.422</v>
      </c>
      <c r="E124" s="327">
        <f t="shared" si="14"/>
        <v>-2.8332608160739792E-2</v>
      </c>
      <c r="G124" s="306"/>
      <c r="H124" s="329"/>
      <c r="I124" s="329"/>
      <c r="J124" s="203"/>
    </row>
    <row r="125" spans="2:10" x14ac:dyDescent="0.25">
      <c r="B125" s="307" t="s">
        <v>317</v>
      </c>
      <c r="C125" s="308">
        <v>23046.498</v>
      </c>
      <c r="D125" s="308">
        <v>16730.028999999999</v>
      </c>
      <c r="E125" s="327">
        <f t="shared" si="14"/>
        <v>0.37755278248471669</v>
      </c>
      <c r="G125" s="306" t="s">
        <v>294</v>
      </c>
      <c r="H125" s="329"/>
      <c r="I125" s="329"/>
      <c r="J125" s="203"/>
    </row>
    <row r="126" spans="2:10" x14ac:dyDescent="0.25">
      <c r="B126" s="303" t="s">
        <v>318</v>
      </c>
      <c r="C126" s="304">
        <f>SUM(C121:C125)</f>
        <v>143593.03700000001</v>
      </c>
      <c r="D126" s="304">
        <f>SUM(D121:D125)</f>
        <v>120166.345</v>
      </c>
      <c r="E126" s="305">
        <f t="shared" si="14"/>
        <v>0.19495218898436173</v>
      </c>
      <c r="G126" s="306" t="s">
        <v>320</v>
      </c>
      <c r="H126" s="329"/>
      <c r="I126" s="329"/>
      <c r="J126" s="203"/>
    </row>
    <row r="127" spans="2:10" x14ac:dyDescent="0.25">
      <c r="B127" s="303" t="s">
        <v>319</v>
      </c>
      <c r="C127" s="304">
        <f>C126+C118</f>
        <v>521370.10500000004</v>
      </c>
      <c r="D127" s="304">
        <f>D126+D118</f>
        <v>485522.22699999996</v>
      </c>
      <c r="E127" s="305">
        <f t="shared" si="14"/>
        <v>7.3833649638454402E-2</v>
      </c>
      <c r="G127" s="310" t="s">
        <v>419</v>
      </c>
      <c r="H127" s="328">
        <v>362.81599999999997</v>
      </c>
      <c r="I127" s="328">
        <v>362.815</v>
      </c>
      <c r="J127" s="285">
        <f t="shared" ref="J127:J129" si="15">H127/I127-1</f>
        <v>2.7562256246227435E-6</v>
      </c>
    </row>
    <row r="128" spans="2:10" x14ac:dyDescent="0.25">
      <c r="B128" s="303" t="s">
        <v>408</v>
      </c>
      <c r="C128" s="308" t="s">
        <v>408</v>
      </c>
      <c r="D128" s="308" t="s">
        <v>408</v>
      </c>
      <c r="E128" s="319" t="s">
        <v>408</v>
      </c>
      <c r="G128" s="310" t="s">
        <v>420</v>
      </c>
      <c r="H128" s="328">
        <v>446.68299999999999</v>
      </c>
      <c r="I128" s="328">
        <v>468.60700000000003</v>
      </c>
      <c r="J128" s="285">
        <f t="shared" si="15"/>
        <v>-4.6785472688201435E-2</v>
      </c>
    </row>
    <row r="129" spans="2:10" x14ac:dyDescent="0.25">
      <c r="B129" s="303" t="s">
        <v>294</v>
      </c>
      <c r="C129" s="308" t="s">
        <v>408</v>
      </c>
      <c r="D129" s="308" t="s">
        <v>408</v>
      </c>
      <c r="E129" s="319" t="s">
        <v>408</v>
      </c>
      <c r="G129" s="306" t="s">
        <v>322</v>
      </c>
      <c r="H129" s="329">
        <f>SUM(H127:H128)</f>
        <v>809.49900000000002</v>
      </c>
      <c r="I129" s="329">
        <f>SUM(I127:I128)</f>
        <v>831.42200000000003</v>
      </c>
      <c r="J129" s="203">
        <f t="shared" si="15"/>
        <v>-2.6368077823295533E-2</v>
      </c>
    </row>
    <row r="130" spans="2:10" x14ac:dyDescent="0.25">
      <c r="B130" s="303" t="s">
        <v>320</v>
      </c>
      <c r="C130" s="308" t="s">
        <v>408</v>
      </c>
      <c r="D130" s="308" t="s">
        <v>408</v>
      </c>
      <c r="E130" s="319" t="s">
        <v>408</v>
      </c>
      <c r="G130" s="306"/>
      <c r="H130" s="329"/>
      <c r="I130" s="329"/>
      <c r="J130" s="203"/>
    </row>
    <row r="131" spans="2:10" x14ac:dyDescent="0.25">
      <c r="B131" s="307" t="s">
        <v>421</v>
      </c>
      <c r="C131" s="308">
        <v>3540.5619999999999</v>
      </c>
      <c r="D131" s="308">
        <v>6831.2730000000001</v>
      </c>
      <c r="E131" s="327">
        <f t="shared" ref="E131:E134" si="16">C131/D131-1</f>
        <v>-0.48171270566993885</v>
      </c>
      <c r="G131" s="306" t="s">
        <v>323</v>
      </c>
      <c r="H131" s="329"/>
      <c r="I131" s="329"/>
      <c r="J131" s="203"/>
    </row>
    <row r="132" spans="2:10" x14ac:dyDescent="0.25">
      <c r="B132" s="307" t="s">
        <v>419</v>
      </c>
      <c r="C132" s="308">
        <v>10927.602000000001</v>
      </c>
      <c r="D132" s="308">
        <v>10964.102000000001</v>
      </c>
      <c r="E132" s="327">
        <f t="shared" si="16"/>
        <v>-3.3290460085103613E-3</v>
      </c>
      <c r="G132" s="310" t="s">
        <v>324</v>
      </c>
      <c r="H132" s="328">
        <v>341.52100000000002</v>
      </c>
      <c r="I132" s="328">
        <v>80.378</v>
      </c>
      <c r="J132" s="285">
        <f>H132/I132-1</f>
        <v>3.2489362760954492</v>
      </c>
    </row>
    <row r="133" spans="2:10" x14ac:dyDescent="0.25">
      <c r="B133" s="307" t="s">
        <v>321</v>
      </c>
      <c r="C133" s="308">
        <v>22808.353999999999</v>
      </c>
      <c r="D133" s="308">
        <v>23281.996999999999</v>
      </c>
      <c r="E133" s="327">
        <f t="shared" si="16"/>
        <v>-2.034374456795951E-2</v>
      </c>
      <c r="G133" s="310" t="s">
        <v>420</v>
      </c>
      <c r="H133" s="328">
        <v>82.164000000000001</v>
      </c>
      <c r="I133" s="328">
        <v>71.182000000000002</v>
      </c>
      <c r="J133" s="285">
        <f>H133/I133-1</f>
        <v>0.15428057655025151</v>
      </c>
    </row>
    <row r="134" spans="2:10" x14ac:dyDescent="0.25">
      <c r="B134" s="303" t="s">
        <v>322</v>
      </c>
      <c r="C134" s="304">
        <f>SUM(C131:C133)</f>
        <v>37276.517999999996</v>
      </c>
      <c r="D134" s="304">
        <f>SUM(D131:D133)</f>
        <v>41077.372000000003</v>
      </c>
      <c r="E134" s="305">
        <f t="shared" si="16"/>
        <v>-9.2529142321957858E-2</v>
      </c>
      <c r="G134" s="310" t="s">
        <v>325</v>
      </c>
      <c r="H134" s="328">
        <v>2974.2469999999998</v>
      </c>
      <c r="I134" s="328">
        <v>2916.424</v>
      </c>
      <c r="J134" s="285">
        <f t="shared" ref="J134" si="17">H134/I134-1</f>
        <v>1.9826678151050769E-2</v>
      </c>
    </row>
    <row r="135" spans="2:10" x14ac:dyDescent="0.25">
      <c r="B135" s="303" t="s">
        <v>408</v>
      </c>
      <c r="C135" s="308" t="s">
        <v>408</v>
      </c>
      <c r="D135" s="308" t="s">
        <v>408</v>
      </c>
      <c r="E135" s="319" t="s">
        <v>408</v>
      </c>
      <c r="G135" s="310" t="s">
        <v>298</v>
      </c>
      <c r="H135" s="328">
        <v>553.37599999999998</v>
      </c>
      <c r="I135" s="328">
        <v>367.76600000000002</v>
      </c>
      <c r="J135" s="285">
        <f>H135/I135-1</f>
        <v>0.50469592077571046</v>
      </c>
    </row>
    <row r="136" spans="2:10" x14ac:dyDescent="0.25">
      <c r="B136" s="303" t="s">
        <v>323</v>
      </c>
      <c r="C136" s="308" t="s">
        <v>408</v>
      </c>
      <c r="D136" s="308" t="s">
        <v>408</v>
      </c>
      <c r="E136" s="319" t="s">
        <v>408</v>
      </c>
      <c r="G136" s="306" t="s">
        <v>336</v>
      </c>
      <c r="H136" s="329">
        <f>SUM(H132:H135)</f>
        <v>3951.308</v>
      </c>
      <c r="I136" s="329">
        <f>SUM(I132:I135)</f>
        <v>3435.75</v>
      </c>
      <c r="J136" s="203">
        <f t="shared" ref="J136:J137" si="18">H136/I136-1</f>
        <v>0.15005690169540853</v>
      </c>
    </row>
    <row r="137" spans="2:10" x14ac:dyDescent="0.25">
      <c r="B137" s="307" t="s">
        <v>421</v>
      </c>
      <c r="C137" s="308">
        <v>43302.159</v>
      </c>
      <c r="D137" s="308">
        <v>24542.066999999999</v>
      </c>
      <c r="E137" s="327">
        <f t="shared" ref="E137:E143" si="19">C137/D137-1</f>
        <v>0.76440554090248392</v>
      </c>
      <c r="G137" s="306" t="s">
        <v>300</v>
      </c>
      <c r="H137" s="329">
        <f>H136+H129</f>
        <v>4760.8069999999998</v>
      </c>
      <c r="I137" s="329">
        <f>I136+I129</f>
        <v>4267.1720000000005</v>
      </c>
      <c r="J137" s="203">
        <f t="shared" si="18"/>
        <v>0.11568200203788348</v>
      </c>
    </row>
    <row r="138" spans="2:10" x14ac:dyDescent="0.25">
      <c r="B138" s="307" t="s">
        <v>324</v>
      </c>
      <c r="C138" s="308">
        <v>18246.383000000002</v>
      </c>
      <c r="D138" s="308">
        <v>10623.647000000001</v>
      </c>
      <c r="E138" s="327">
        <f t="shared" si="19"/>
        <v>0.71752534699242165</v>
      </c>
      <c r="G138" s="306"/>
      <c r="H138" s="329"/>
      <c r="I138" s="329"/>
      <c r="J138" s="203"/>
    </row>
    <row r="139" spans="2:10" x14ac:dyDescent="0.25">
      <c r="B139" s="307" t="s">
        <v>396</v>
      </c>
      <c r="C139" s="308">
        <v>9742.9459999999999</v>
      </c>
      <c r="D139" s="308">
        <v>10437.847</v>
      </c>
      <c r="E139" s="327">
        <f t="shared" si="19"/>
        <v>-6.6575127993349525E-2</v>
      </c>
      <c r="G139" s="306" t="s">
        <v>301</v>
      </c>
      <c r="H139" s="329"/>
      <c r="I139" s="329"/>
      <c r="J139" s="203"/>
    </row>
    <row r="140" spans="2:10" x14ac:dyDescent="0.25">
      <c r="B140" s="307" t="s">
        <v>325</v>
      </c>
      <c r="C140" s="308">
        <v>226314.541</v>
      </c>
      <c r="D140" s="308">
        <v>226418.019</v>
      </c>
      <c r="E140" s="327">
        <f t="shared" si="19"/>
        <v>-4.5702192986685208E-4</v>
      </c>
      <c r="G140" s="310" t="s">
        <v>302</v>
      </c>
      <c r="H140" s="328">
        <v>3914.748</v>
      </c>
      <c r="I140" s="328">
        <v>3914.748</v>
      </c>
      <c r="J140" s="285">
        <f t="shared" ref="J140:J142" si="20">H140/I140-1</f>
        <v>0</v>
      </c>
    </row>
    <row r="141" spans="2:10" x14ac:dyDescent="0.25">
      <c r="B141" s="307" t="s">
        <v>298</v>
      </c>
      <c r="C141" s="308">
        <v>511.01100000000002</v>
      </c>
      <c r="D141" s="308">
        <v>511.01100000000002</v>
      </c>
      <c r="E141" s="327">
        <f t="shared" si="19"/>
        <v>0</v>
      </c>
      <c r="G141" s="310" t="s">
        <v>303</v>
      </c>
      <c r="H141" s="328">
        <v>519.1</v>
      </c>
      <c r="I141" s="328">
        <v>519.1</v>
      </c>
      <c r="J141" s="285">
        <f t="shared" si="20"/>
        <v>0</v>
      </c>
    </row>
    <row r="142" spans="2:10" x14ac:dyDescent="0.25">
      <c r="B142" s="303" t="s">
        <v>336</v>
      </c>
      <c r="C142" s="304">
        <f>SUM(C137:C141)</f>
        <v>298117.03999999998</v>
      </c>
      <c r="D142" s="304">
        <f>SUM(D137:D141)</f>
        <v>272532.59100000001</v>
      </c>
      <c r="E142" s="305">
        <f t="shared" si="19"/>
        <v>9.3876658590164697E-2</v>
      </c>
      <c r="G142" s="310" t="s">
        <v>422</v>
      </c>
      <c r="H142" s="328">
        <v>3701.6120000000001</v>
      </c>
      <c r="I142" s="328">
        <v>3701.6120000000001</v>
      </c>
      <c r="J142" s="285">
        <f t="shared" si="20"/>
        <v>0</v>
      </c>
    </row>
    <row r="143" spans="2:10" ht="14.4" thickBot="1" x14ac:dyDescent="0.3">
      <c r="B143" s="303" t="s">
        <v>300</v>
      </c>
      <c r="C143" s="304">
        <f>C142+C134</f>
        <v>335393.55799999996</v>
      </c>
      <c r="D143" s="304">
        <f>D142+D134</f>
        <v>313609.96299999999</v>
      </c>
      <c r="E143" s="305">
        <f t="shared" si="19"/>
        <v>6.9460787506932631E-2</v>
      </c>
      <c r="G143" s="310" t="s">
        <v>423</v>
      </c>
      <c r="H143" s="328">
        <v>1642.5260000000001</v>
      </c>
      <c r="I143" s="328">
        <v>1084.183</v>
      </c>
      <c r="J143" s="285">
        <f>-(H143/I143-1)</f>
        <v>-0.5149896281347337</v>
      </c>
    </row>
    <row r="144" spans="2:10" ht="14.4" thickBot="1" x14ac:dyDescent="0.3">
      <c r="B144" s="330" t="s">
        <v>408</v>
      </c>
      <c r="C144" s="308" t="s">
        <v>408</v>
      </c>
      <c r="D144" s="308" t="s">
        <v>408</v>
      </c>
      <c r="E144" s="319" t="s">
        <v>408</v>
      </c>
      <c r="G144" s="331" t="s">
        <v>305</v>
      </c>
      <c r="H144" s="332">
        <f>SUM(H140:H143)</f>
        <v>9777.9860000000008</v>
      </c>
      <c r="I144" s="332">
        <f>SUM(I140:I143)</f>
        <v>9219.643</v>
      </c>
      <c r="J144" s="333">
        <f t="shared" ref="J144" si="21">H144/I144-1</f>
        <v>6.0560154010301792E-2</v>
      </c>
    </row>
    <row r="145" spans="2:10" ht="14.4" thickBot="1" x14ac:dyDescent="0.3">
      <c r="B145" s="303" t="s">
        <v>301</v>
      </c>
      <c r="C145" s="308" t="s">
        <v>408</v>
      </c>
      <c r="D145" s="308" t="s">
        <v>408</v>
      </c>
      <c r="E145" s="319" t="s">
        <v>408</v>
      </c>
      <c r="J145" s="24"/>
    </row>
    <row r="146" spans="2:10" x14ac:dyDescent="0.25">
      <c r="B146" s="307" t="s">
        <v>302</v>
      </c>
      <c r="C146" s="308">
        <v>4038</v>
      </c>
      <c r="D146" s="308">
        <v>4038</v>
      </c>
      <c r="E146" s="327">
        <f t="shared" ref="E146:E150" si="22">C146/D146-1</f>
        <v>0</v>
      </c>
      <c r="G146" s="761" t="s">
        <v>424</v>
      </c>
      <c r="H146" s="762"/>
      <c r="I146" s="762"/>
      <c r="J146" s="763"/>
    </row>
    <row r="147" spans="2:10" ht="14.4" thickBot="1" x14ac:dyDescent="0.3">
      <c r="B147" s="307" t="s">
        <v>303</v>
      </c>
      <c r="C147" s="308">
        <v>77500</v>
      </c>
      <c r="D147" s="308">
        <v>77500</v>
      </c>
      <c r="E147" s="327">
        <f t="shared" si="22"/>
        <v>0</v>
      </c>
      <c r="G147" s="694" t="s">
        <v>277</v>
      </c>
      <c r="H147" s="694"/>
      <c r="I147" s="694"/>
      <c r="J147" s="713"/>
    </row>
    <row r="148" spans="2:10" x14ac:dyDescent="0.25">
      <c r="B148" s="307" t="s">
        <v>425</v>
      </c>
      <c r="C148" s="308">
        <v>245.29900000000001</v>
      </c>
      <c r="D148" s="308">
        <v>170.75299999999999</v>
      </c>
      <c r="E148" s="327">
        <f t="shared" si="22"/>
        <v>0.43657212464788331</v>
      </c>
      <c r="G148" s="334"/>
      <c r="H148" s="335">
        <v>2022</v>
      </c>
      <c r="I148" s="335">
        <v>2021</v>
      </c>
      <c r="J148" s="218"/>
    </row>
    <row r="149" spans="2:10" ht="14.4" thickBot="1" x14ac:dyDescent="0.3">
      <c r="B149" s="307" t="s">
        <v>327</v>
      </c>
      <c r="C149" s="308">
        <v>104082.819</v>
      </c>
      <c r="D149" s="308">
        <v>90094.910999999993</v>
      </c>
      <c r="E149" s="327">
        <f t="shared" si="22"/>
        <v>0.15525747064670514</v>
      </c>
      <c r="G149" s="336"/>
      <c r="H149" s="337" t="s">
        <v>278</v>
      </c>
      <c r="I149" s="337" t="s">
        <v>278</v>
      </c>
      <c r="J149" s="338"/>
    </row>
    <row r="150" spans="2:10" ht="14.4" thickBot="1" x14ac:dyDescent="0.3">
      <c r="B150" s="307" t="s">
        <v>304</v>
      </c>
      <c r="C150" s="308">
        <v>110.71599999999999</v>
      </c>
      <c r="D150" s="308">
        <v>108.887</v>
      </c>
      <c r="E150" s="327">
        <f t="shared" si="22"/>
        <v>1.6797230156033294E-2</v>
      </c>
      <c r="G150" s="339"/>
      <c r="H150" s="340"/>
      <c r="I150" s="341"/>
      <c r="J150" s="342"/>
    </row>
    <row r="151" spans="2:10" ht="14.4" thickBot="1" x14ac:dyDescent="0.3">
      <c r="B151" s="343" t="s">
        <v>305</v>
      </c>
      <c r="C151" s="344">
        <f>SUM(C146:C150)</f>
        <v>185976.834</v>
      </c>
      <c r="D151" s="344">
        <f>SUM(D146:D150)</f>
        <v>171912.55099999998</v>
      </c>
      <c r="E151" s="345">
        <f>C151/D151-1</f>
        <v>8.1810681757610748E-2</v>
      </c>
      <c r="G151" s="346" t="s">
        <v>306</v>
      </c>
      <c r="H151" s="347">
        <v>90605.737999999998</v>
      </c>
      <c r="I151" s="347">
        <v>71470.248000000007</v>
      </c>
      <c r="J151" s="210">
        <f>H151/I151-1</f>
        <v>0.26774064083281179</v>
      </c>
    </row>
    <row r="152" spans="2:10" ht="14.4" thickBot="1" x14ac:dyDescent="0.3">
      <c r="B152" s="348"/>
      <c r="C152" s="348"/>
      <c r="D152" s="349"/>
      <c r="E152" s="350"/>
      <c r="G152" s="351" t="s">
        <v>307</v>
      </c>
      <c r="H152" s="352">
        <v>-48432.254999999997</v>
      </c>
      <c r="I152" s="352">
        <v>-40271.845999999998</v>
      </c>
      <c r="J152" s="212"/>
    </row>
    <row r="153" spans="2:10" x14ac:dyDescent="0.25">
      <c r="B153" s="781" t="s">
        <v>426</v>
      </c>
      <c r="C153" s="782"/>
      <c r="D153" s="782"/>
      <c r="E153" s="783"/>
      <c r="G153" s="346" t="s">
        <v>308</v>
      </c>
      <c r="H153" s="347">
        <v>21467.187999999998</v>
      </c>
      <c r="I153" s="347">
        <v>12771.57800000001</v>
      </c>
      <c r="J153" s="210">
        <f>(H153/I153-1)</f>
        <v>0.68085635150174717</v>
      </c>
    </row>
    <row r="154" spans="2:10" ht="14.4" thickBot="1" x14ac:dyDescent="0.3">
      <c r="B154" s="784" t="s">
        <v>277</v>
      </c>
      <c r="C154" s="785"/>
      <c r="D154" s="785"/>
      <c r="E154" s="786"/>
      <c r="G154" s="351" t="s">
        <v>281</v>
      </c>
      <c r="H154" s="352">
        <v>-3909.1109999999999</v>
      </c>
      <c r="I154" s="352">
        <v>-3635.2040000000002</v>
      </c>
      <c r="J154" s="212"/>
    </row>
    <row r="155" spans="2:10" ht="14.4" thickBot="1" x14ac:dyDescent="0.3">
      <c r="B155" s="353"/>
      <c r="C155" s="354">
        <v>2022</v>
      </c>
      <c r="D155" s="354">
        <v>2021</v>
      </c>
      <c r="E155" s="355"/>
      <c r="G155" s="346" t="s">
        <v>309</v>
      </c>
      <c r="H155" s="356">
        <v>17558.076999999997</v>
      </c>
      <c r="I155" s="356">
        <v>9136.3740000000107</v>
      </c>
      <c r="J155" s="357">
        <f>(H155/I155-1)</f>
        <v>0.92177739221270683</v>
      </c>
    </row>
    <row r="156" spans="2:10" ht="14.4" thickBot="1" x14ac:dyDescent="0.3">
      <c r="B156" s="358"/>
      <c r="C156" s="359" t="s">
        <v>278</v>
      </c>
      <c r="D156" s="359" t="s">
        <v>278</v>
      </c>
      <c r="E156" s="360"/>
      <c r="G156" s="361" t="s">
        <v>283</v>
      </c>
      <c r="H156" s="347"/>
      <c r="I156" s="347"/>
      <c r="J156" s="285"/>
    </row>
    <row r="157" spans="2:10" x14ac:dyDescent="0.25">
      <c r="B157" s="362"/>
      <c r="C157" s="363"/>
      <c r="D157" s="363"/>
      <c r="E157" s="231"/>
      <c r="G157" s="364" t="s">
        <v>285</v>
      </c>
      <c r="H157" s="347" t="s">
        <v>340</v>
      </c>
      <c r="I157" s="347" t="s">
        <v>284</v>
      </c>
      <c r="J157" s="285"/>
    </row>
    <row r="158" spans="2:10" x14ac:dyDescent="0.25">
      <c r="B158" s="365" t="s">
        <v>306</v>
      </c>
      <c r="C158" s="366">
        <v>20560.458999999999</v>
      </c>
      <c r="D158" s="366">
        <v>16509.598999999998</v>
      </c>
      <c r="E158" s="235">
        <f>C158/D158-1</f>
        <v>0.24536392434486154</v>
      </c>
      <c r="G158" s="364" t="s">
        <v>311</v>
      </c>
      <c r="H158" s="352"/>
      <c r="I158" s="352"/>
      <c r="J158" s="285"/>
    </row>
    <row r="159" spans="2:10" x14ac:dyDescent="0.25">
      <c r="B159" s="367" t="s">
        <v>377</v>
      </c>
      <c r="C159" s="368">
        <v>-13386.441000000001</v>
      </c>
      <c r="D159" s="368">
        <v>-12328.66</v>
      </c>
      <c r="E159" s="235"/>
      <c r="G159" s="369" t="s">
        <v>312</v>
      </c>
      <c r="H159" s="352">
        <v>335117.23800000001</v>
      </c>
      <c r="I159" s="352">
        <v>338721.74699999997</v>
      </c>
      <c r="J159" s="285">
        <f t="shared" ref="J159:J163" si="23">H159/I159-1</f>
        <v>-1.0641504514913747E-2</v>
      </c>
    </row>
    <row r="160" spans="2:10" x14ac:dyDescent="0.25">
      <c r="B160" s="365" t="s">
        <v>308</v>
      </c>
      <c r="C160" s="366">
        <v>2350.5320000000002</v>
      </c>
      <c r="D160" s="366">
        <v>-129.977</v>
      </c>
      <c r="E160" s="235">
        <f>-(C160/D160-1)</f>
        <v>19.084214899559154</v>
      </c>
      <c r="G160" s="369" t="s">
        <v>291</v>
      </c>
      <c r="H160" s="352">
        <v>406.21100000000001</v>
      </c>
      <c r="I160" s="352">
        <v>713.74599999999998</v>
      </c>
      <c r="J160" s="285">
        <f t="shared" si="23"/>
        <v>-0.4308745688242035</v>
      </c>
    </row>
    <row r="161" spans="2:10" ht="14.4" thickBot="1" x14ac:dyDescent="0.3">
      <c r="B161" s="367" t="s">
        <v>281</v>
      </c>
      <c r="C161" s="368">
        <f>-104.113-450.123</f>
        <v>-554.23599999999999</v>
      </c>
      <c r="D161" s="368">
        <f>-97.1-346.808</f>
        <v>-443.90800000000002</v>
      </c>
      <c r="E161" s="235"/>
      <c r="G161" s="369" t="s">
        <v>352</v>
      </c>
      <c r="H161" s="352">
        <v>65660.843999999997</v>
      </c>
      <c r="I161" s="352">
        <v>35535.402999999998</v>
      </c>
      <c r="J161" s="285">
        <f t="shared" si="23"/>
        <v>0.84775852971190457</v>
      </c>
    </row>
    <row r="162" spans="2:10" ht="14.4" thickBot="1" x14ac:dyDescent="0.3">
      <c r="B162" s="365" t="s">
        <v>427</v>
      </c>
      <c r="C162" s="370">
        <f>SUM(C160:C161)</f>
        <v>1796.2960000000003</v>
      </c>
      <c r="D162" s="370">
        <f>SUM(D160:D161)</f>
        <v>-573.88499999999999</v>
      </c>
      <c r="E162" s="242">
        <f>-(C162/D162-1)</f>
        <v>4.1300626432124909</v>
      </c>
      <c r="G162" s="369" t="s">
        <v>292</v>
      </c>
      <c r="H162" s="352">
        <v>12505.378000000001</v>
      </c>
      <c r="I162" s="352">
        <v>15292.416999999999</v>
      </c>
      <c r="J162" s="285">
        <f t="shared" si="23"/>
        <v>-0.18224973854688886</v>
      </c>
    </row>
    <row r="163" spans="2:10" ht="14.4" thickBot="1" x14ac:dyDescent="0.3">
      <c r="B163" s="371" t="s">
        <v>283</v>
      </c>
      <c r="C163" s="368"/>
      <c r="D163" s="368"/>
      <c r="E163" s="235"/>
      <c r="G163" s="364" t="s">
        <v>313</v>
      </c>
      <c r="H163" s="347">
        <f>SUM(H159:H162)</f>
        <v>413689.67100000003</v>
      </c>
      <c r="I163" s="347">
        <f>SUM(I159:I162)</f>
        <v>390263.31299999997</v>
      </c>
      <c r="J163" s="203">
        <f t="shared" si="23"/>
        <v>6.0027056655463928E-2</v>
      </c>
    </row>
    <row r="164" spans="2:10" x14ac:dyDescent="0.25">
      <c r="B164" s="372" t="s">
        <v>285</v>
      </c>
      <c r="C164" s="347" t="s">
        <v>340</v>
      </c>
      <c r="D164" s="347" t="s">
        <v>284</v>
      </c>
      <c r="E164" s="235"/>
      <c r="G164" s="369"/>
      <c r="H164" s="347"/>
      <c r="I164" s="347"/>
      <c r="J164" s="203"/>
    </row>
    <row r="165" spans="2:10" x14ac:dyDescent="0.25">
      <c r="B165" s="372" t="s">
        <v>311</v>
      </c>
      <c r="C165" s="368"/>
      <c r="D165" s="368"/>
      <c r="E165" s="235"/>
      <c r="G165" s="364" t="s">
        <v>314</v>
      </c>
      <c r="H165" s="352"/>
      <c r="I165" s="352"/>
      <c r="J165" s="285"/>
    </row>
    <row r="166" spans="2:10" x14ac:dyDescent="0.25">
      <c r="B166" s="373" t="s">
        <v>379</v>
      </c>
      <c r="C166" s="368">
        <v>21834.99</v>
      </c>
      <c r="D166" s="368">
        <v>22376.287</v>
      </c>
      <c r="E166" s="245">
        <f>C166/D166-1</f>
        <v>-2.4190653257173511E-2</v>
      </c>
      <c r="G166" s="369" t="s">
        <v>315</v>
      </c>
      <c r="H166" s="352">
        <v>43368.434999999998</v>
      </c>
      <c r="I166" s="352">
        <v>45010.127</v>
      </c>
      <c r="J166" s="285">
        <f t="shared" ref="J166:J172" si="24">H166/I166-1</f>
        <v>-3.6473836210237809E-2</v>
      </c>
    </row>
    <row r="167" spans="2:10" x14ac:dyDescent="0.25">
      <c r="B167" s="373" t="s">
        <v>291</v>
      </c>
      <c r="C167" s="368">
        <v>3.37</v>
      </c>
      <c r="D167" s="368">
        <v>3.4670000000000001</v>
      </c>
      <c r="E167" s="245">
        <f>C167/D167-1</f>
        <v>-2.7978079030862357E-2</v>
      </c>
      <c r="G167" s="369" t="s">
        <v>316</v>
      </c>
      <c r="H167" s="352">
        <v>8856.7649999999994</v>
      </c>
      <c r="I167" s="352">
        <v>7196.7539999999999</v>
      </c>
      <c r="J167" s="285">
        <f t="shared" si="24"/>
        <v>0.23066107303375927</v>
      </c>
    </row>
    <row r="168" spans="2:10" x14ac:dyDescent="0.25">
      <c r="B168" s="372" t="s">
        <v>313</v>
      </c>
      <c r="C168" s="366">
        <f>SUM(C166:C167)</f>
        <v>21838.36</v>
      </c>
      <c r="D168" s="366">
        <f>SUM(D166:D167)</f>
        <v>22379.754000000001</v>
      </c>
      <c r="E168" s="235">
        <f>C168/D168-1</f>
        <v>-2.419123999307593E-2</v>
      </c>
      <c r="G168" s="369" t="s">
        <v>352</v>
      </c>
      <c r="H168" s="352">
        <v>10649.246999999999</v>
      </c>
      <c r="I168" s="352">
        <v>15275.129000000001</v>
      </c>
      <c r="J168" s="285">
        <f t="shared" si="24"/>
        <v>-0.30283750795165143</v>
      </c>
    </row>
    <row r="169" spans="2:10" x14ac:dyDescent="0.25">
      <c r="B169" s="372"/>
      <c r="C169" s="366"/>
      <c r="D169" s="366"/>
      <c r="E169" s="235"/>
      <c r="G169" s="369" t="s">
        <v>387</v>
      </c>
      <c r="H169" s="352">
        <v>19607.534</v>
      </c>
      <c r="I169" s="352">
        <v>19034.528999999999</v>
      </c>
      <c r="J169" s="285">
        <f t="shared" si="24"/>
        <v>3.0103450418972777E-2</v>
      </c>
    </row>
    <row r="170" spans="2:10" x14ac:dyDescent="0.25">
      <c r="B170" s="372" t="s">
        <v>314</v>
      </c>
      <c r="C170" s="368"/>
      <c r="D170" s="368"/>
      <c r="E170" s="245"/>
      <c r="G170" s="369" t="s">
        <v>428</v>
      </c>
      <c r="H170" s="352">
        <v>39466.654000000002</v>
      </c>
      <c r="I170" s="352">
        <v>50057.345000000001</v>
      </c>
      <c r="J170" s="285">
        <f t="shared" si="24"/>
        <v>-0.21157116902624373</v>
      </c>
    </row>
    <row r="171" spans="2:10" x14ac:dyDescent="0.25">
      <c r="B171" s="373" t="s">
        <v>315</v>
      </c>
      <c r="C171" s="368">
        <v>18741.773000000001</v>
      </c>
      <c r="D171" s="368">
        <v>14956.331</v>
      </c>
      <c r="E171" s="245">
        <f t="shared" ref="E171:E176" si="25">C171/D171-1</f>
        <v>0.25309964054686951</v>
      </c>
      <c r="G171" s="364" t="s">
        <v>318</v>
      </c>
      <c r="H171" s="347">
        <f>SUM(H166:H170)</f>
        <v>121948.63500000001</v>
      </c>
      <c r="I171" s="347">
        <f>SUM(I166:I170)</f>
        <v>136573.88400000002</v>
      </c>
      <c r="J171" s="203">
        <f t="shared" si="24"/>
        <v>-0.10708671798482361</v>
      </c>
    </row>
    <row r="172" spans="2:10" x14ac:dyDescent="0.25">
      <c r="B172" s="374" t="s">
        <v>316</v>
      </c>
      <c r="C172" s="368">
        <v>14653.4</v>
      </c>
      <c r="D172" s="368">
        <v>14992.655000000001</v>
      </c>
      <c r="E172" s="245">
        <f t="shared" si="25"/>
        <v>-2.2628080216612778E-2</v>
      </c>
      <c r="G172" s="364" t="s">
        <v>319</v>
      </c>
      <c r="H172" s="347">
        <f>H171+H163</f>
        <v>535638.3060000001</v>
      </c>
      <c r="I172" s="347">
        <f>I171+I163</f>
        <v>526837.19699999993</v>
      </c>
      <c r="J172" s="203">
        <f t="shared" si="24"/>
        <v>1.670555733368273E-2</v>
      </c>
    </row>
    <row r="173" spans="2:10" x14ac:dyDescent="0.25">
      <c r="B173" s="373" t="s">
        <v>341</v>
      </c>
      <c r="C173" s="368">
        <v>60836.294000000002</v>
      </c>
      <c r="D173" s="368">
        <v>55697.536999999997</v>
      </c>
      <c r="E173" s="245">
        <f t="shared" si="25"/>
        <v>9.2261835563752115E-2</v>
      </c>
      <c r="G173" s="364"/>
      <c r="H173" s="347"/>
      <c r="I173" s="347"/>
      <c r="J173" s="285"/>
    </row>
    <row r="174" spans="2:10" x14ac:dyDescent="0.25">
      <c r="B174" s="373" t="s">
        <v>429</v>
      </c>
      <c r="C174" s="368">
        <v>262.25799999999998</v>
      </c>
      <c r="D174" s="368">
        <v>262.25799999999998</v>
      </c>
      <c r="E174" s="245">
        <f t="shared" si="25"/>
        <v>0</v>
      </c>
      <c r="G174" s="364" t="s">
        <v>294</v>
      </c>
      <c r="H174" s="347"/>
      <c r="I174" s="347"/>
      <c r="J174" s="285"/>
    </row>
    <row r="175" spans="2:10" x14ac:dyDescent="0.25">
      <c r="B175" s="372" t="s">
        <v>318</v>
      </c>
      <c r="C175" s="366">
        <f>SUM(C171:C174)</f>
        <v>94493.725000000006</v>
      </c>
      <c r="D175" s="366">
        <f>SUM(D171:D174)</f>
        <v>85908.781000000003</v>
      </c>
      <c r="E175" s="235">
        <f t="shared" si="25"/>
        <v>9.9930925570926199E-2</v>
      </c>
      <c r="G175" s="364" t="s">
        <v>320</v>
      </c>
      <c r="H175" s="347"/>
      <c r="I175" s="347"/>
      <c r="J175" s="285"/>
    </row>
    <row r="176" spans="2:10" x14ac:dyDescent="0.25">
      <c r="B176" s="372" t="s">
        <v>319</v>
      </c>
      <c r="C176" s="366">
        <f>C175+C168</f>
        <v>116332.08500000001</v>
      </c>
      <c r="D176" s="366">
        <f>D175+D168</f>
        <v>108288.535</v>
      </c>
      <c r="E176" s="235">
        <f t="shared" si="25"/>
        <v>7.4278869872974163E-2</v>
      </c>
      <c r="G176" s="369" t="s">
        <v>421</v>
      </c>
      <c r="H176" s="352">
        <v>2291.6019999999999</v>
      </c>
      <c r="I176" s="352">
        <v>2482.049</v>
      </c>
      <c r="J176" s="285">
        <f t="shared" ref="J176:J181" si="26">H176/I176-1</f>
        <v>-7.6729750299047272E-2</v>
      </c>
    </row>
    <row r="177" spans="2:10" x14ac:dyDescent="0.25">
      <c r="B177" s="372"/>
      <c r="C177" s="366"/>
      <c r="D177" s="366"/>
      <c r="E177" s="235"/>
      <c r="G177" s="369" t="s">
        <v>321</v>
      </c>
      <c r="H177" s="352">
        <v>2106.7249999999999</v>
      </c>
      <c r="I177" s="352">
        <v>2165.5920000000001</v>
      </c>
      <c r="J177" s="285">
        <f t="shared" si="26"/>
        <v>-2.7182867317574244E-2</v>
      </c>
    </row>
    <row r="178" spans="2:10" x14ac:dyDescent="0.25">
      <c r="B178" s="372" t="s">
        <v>294</v>
      </c>
      <c r="C178" s="366"/>
      <c r="D178" s="366"/>
      <c r="E178" s="235"/>
      <c r="G178" s="369" t="s">
        <v>298</v>
      </c>
      <c r="H178" s="352">
        <v>1285.17</v>
      </c>
      <c r="I178" s="352">
        <v>1356.5340000000001</v>
      </c>
      <c r="J178" s="285">
        <f t="shared" si="26"/>
        <v>-5.2607601431294726E-2</v>
      </c>
    </row>
    <row r="179" spans="2:10" x14ac:dyDescent="0.25">
      <c r="B179" s="372" t="s">
        <v>323</v>
      </c>
      <c r="C179" s="366"/>
      <c r="D179" s="366"/>
      <c r="E179" s="235"/>
      <c r="G179" s="369" t="s">
        <v>430</v>
      </c>
      <c r="H179" s="352">
        <v>1938.432</v>
      </c>
      <c r="I179" s="352">
        <v>2103.5569999999998</v>
      </c>
      <c r="J179" s="285">
        <f t="shared" si="26"/>
        <v>-7.8497991734951644E-2</v>
      </c>
    </row>
    <row r="180" spans="2:10" x14ac:dyDescent="0.25">
      <c r="B180" s="373" t="s">
        <v>325</v>
      </c>
      <c r="C180" s="368">
        <v>45501.938000000002</v>
      </c>
      <c r="D180" s="368">
        <v>39739.034</v>
      </c>
      <c r="E180" s="245">
        <f>C180/D180-1</f>
        <v>0.14501872390758175</v>
      </c>
      <c r="G180" s="369" t="s">
        <v>431</v>
      </c>
      <c r="H180" s="352">
        <v>8888.4689999999991</v>
      </c>
      <c r="I180" s="352">
        <v>9116.7000000000007</v>
      </c>
      <c r="J180" s="285">
        <f t="shared" si="26"/>
        <v>-2.5034387442824824E-2</v>
      </c>
    </row>
    <row r="181" spans="2:10" x14ac:dyDescent="0.25">
      <c r="B181" s="373" t="s">
        <v>394</v>
      </c>
      <c r="C181" s="368">
        <v>553.89099999999996</v>
      </c>
      <c r="D181" s="368">
        <v>478.61500000000001</v>
      </c>
      <c r="E181" s="245">
        <f>C181/D181-1</f>
        <v>0.15727881491386597</v>
      </c>
      <c r="G181" s="364" t="s">
        <v>322</v>
      </c>
      <c r="H181" s="347">
        <f>SUM(H176:H180)</f>
        <v>16510.397999999997</v>
      </c>
      <c r="I181" s="347">
        <f>SUM(I176:I180)</f>
        <v>17224.432000000001</v>
      </c>
      <c r="J181" s="203">
        <f t="shared" si="26"/>
        <v>-4.1454719667969542E-2</v>
      </c>
    </row>
    <row r="182" spans="2:10" x14ac:dyDescent="0.25">
      <c r="B182" s="372" t="s">
        <v>336</v>
      </c>
      <c r="C182" s="366">
        <f>SUM(C180:C181)</f>
        <v>46055.829000000005</v>
      </c>
      <c r="D182" s="366">
        <f>SUM(D180:D181)</f>
        <v>40217.648999999998</v>
      </c>
      <c r="E182" s="235">
        <f>C182/D182-1</f>
        <v>0.14516462660460361</v>
      </c>
      <c r="G182" s="369"/>
      <c r="H182" s="347"/>
      <c r="I182" s="347"/>
      <c r="J182" s="203"/>
    </row>
    <row r="183" spans="2:10" x14ac:dyDescent="0.25">
      <c r="B183" s="372"/>
      <c r="C183" s="366"/>
      <c r="D183" s="366"/>
      <c r="E183" s="235"/>
      <c r="G183" s="364" t="s">
        <v>323</v>
      </c>
      <c r="H183" s="352"/>
      <c r="I183" s="352"/>
      <c r="J183" s="285"/>
    </row>
    <row r="184" spans="2:10" x14ac:dyDescent="0.25">
      <c r="B184" s="372" t="s">
        <v>320</v>
      </c>
      <c r="C184" s="368"/>
      <c r="D184" s="368"/>
      <c r="E184" s="245"/>
      <c r="G184" s="369" t="s">
        <v>421</v>
      </c>
      <c r="H184" s="352">
        <v>22346.417000000001</v>
      </c>
      <c r="I184" s="352">
        <v>20805.272000000001</v>
      </c>
      <c r="J184" s="285">
        <f t="shared" ref="J184:J190" si="27">H184/I184-1</f>
        <v>7.4074734519212315E-2</v>
      </c>
    </row>
    <row r="185" spans="2:10" x14ac:dyDescent="0.25">
      <c r="B185" s="373" t="s">
        <v>432</v>
      </c>
      <c r="C185" s="368">
        <v>463.197</v>
      </c>
      <c r="D185" s="368">
        <v>454.71300000000002</v>
      </c>
      <c r="E185" s="245">
        <f t="shared" ref="E185:E190" si="28">C185/D185-1</f>
        <v>1.8657922689696571E-2</v>
      </c>
      <c r="G185" s="369" t="s">
        <v>430</v>
      </c>
      <c r="H185" s="352">
        <v>311.48899999999998</v>
      </c>
      <c r="I185" s="352">
        <v>326.47399999999999</v>
      </c>
      <c r="J185" s="285">
        <f t="shared" si="27"/>
        <v>-4.5899520329337196E-2</v>
      </c>
    </row>
    <row r="186" spans="2:10" x14ac:dyDescent="0.25">
      <c r="B186" s="373" t="s">
        <v>433</v>
      </c>
      <c r="C186" s="368">
        <v>434.774</v>
      </c>
      <c r="D186" s="368">
        <v>421.291</v>
      </c>
      <c r="E186" s="245">
        <f t="shared" si="28"/>
        <v>3.2004006731689127E-2</v>
      </c>
      <c r="G186" s="369" t="s">
        <v>325</v>
      </c>
      <c r="H186" s="352">
        <v>93959.79</v>
      </c>
      <c r="I186" s="352">
        <v>103177.397</v>
      </c>
      <c r="J186" s="285">
        <f t="shared" si="27"/>
        <v>-8.9337464095939567E-2</v>
      </c>
    </row>
    <row r="187" spans="2:10" x14ac:dyDescent="0.25">
      <c r="B187" s="373" t="s">
        <v>434</v>
      </c>
      <c r="C187" s="368">
        <v>379.76499999999999</v>
      </c>
      <c r="D187" s="368">
        <v>369.77</v>
      </c>
      <c r="E187" s="245">
        <f t="shared" si="28"/>
        <v>2.7030316142466981E-2</v>
      </c>
      <c r="G187" s="369" t="s">
        <v>298</v>
      </c>
      <c r="H187" s="352">
        <v>1693.9259999999999</v>
      </c>
      <c r="I187" s="352">
        <v>2918.962</v>
      </c>
      <c r="J187" s="285">
        <f t="shared" si="27"/>
        <v>-0.41968206506285455</v>
      </c>
    </row>
    <row r="188" spans="2:10" x14ac:dyDescent="0.25">
      <c r="B188" s="373" t="s">
        <v>645</v>
      </c>
      <c r="C188" s="368">
        <v>1440.556</v>
      </c>
      <c r="D188" s="368">
        <v>1063.404</v>
      </c>
      <c r="E188" s="245">
        <f t="shared" si="28"/>
        <v>0.35466483105198021</v>
      </c>
      <c r="G188" s="369" t="s">
        <v>324</v>
      </c>
      <c r="H188" s="352">
        <v>4697.5330000000004</v>
      </c>
      <c r="I188" s="352">
        <v>3824.9839999999999</v>
      </c>
      <c r="J188" s="285">
        <f t="shared" si="27"/>
        <v>0.22811833984142171</v>
      </c>
    </row>
    <row r="189" spans="2:10" x14ac:dyDescent="0.25">
      <c r="B189" s="372" t="s">
        <v>322</v>
      </c>
      <c r="C189" s="366">
        <f>SUM(C185:C188)</f>
        <v>2718.2919999999999</v>
      </c>
      <c r="D189" s="366">
        <f>SUM(D185:D188)</f>
        <v>2309.1779999999999</v>
      </c>
      <c r="E189" s="235">
        <f t="shared" si="28"/>
        <v>0.17716867214220811</v>
      </c>
      <c r="G189" s="364" t="s">
        <v>336</v>
      </c>
      <c r="H189" s="347">
        <f>SUM(H184:H188)</f>
        <v>123009.155</v>
      </c>
      <c r="I189" s="347">
        <f>SUM(I184:I188)</f>
        <v>131053.08899999999</v>
      </c>
      <c r="J189" s="203">
        <f t="shared" si="27"/>
        <v>-6.1379201828657304E-2</v>
      </c>
    </row>
    <row r="190" spans="2:10" x14ac:dyDescent="0.25">
      <c r="B190" s="372" t="s">
        <v>300</v>
      </c>
      <c r="C190" s="366">
        <f>C189+C182</f>
        <v>48774.121000000006</v>
      </c>
      <c r="D190" s="366">
        <f>D189+D182</f>
        <v>42526.826999999997</v>
      </c>
      <c r="E190" s="235">
        <f t="shared" si="28"/>
        <v>0.14690242467419479</v>
      </c>
      <c r="G190" s="364" t="s">
        <v>300</v>
      </c>
      <c r="H190" s="347">
        <f>H189+H181</f>
        <v>139519.55299999999</v>
      </c>
      <c r="I190" s="347">
        <f>I189+I181</f>
        <v>148277.52100000001</v>
      </c>
      <c r="J190" s="203">
        <f t="shared" si="27"/>
        <v>-5.906470475723713E-2</v>
      </c>
    </row>
    <row r="191" spans="2:10" x14ac:dyDescent="0.25">
      <c r="B191" s="372"/>
      <c r="C191" s="366"/>
      <c r="D191" s="366"/>
      <c r="E191" s="235"/>
      <c r="G191" s="364"/>
      <c r="H191" s="347"/>
      <c r="I191" s="347"/>
      <c r="J191" s="203"/>
    </row>
    <row r="192" spans="2:10" x14ac:dyDescent="0.25">
      <c r="B192" s="372" t="s">
        <v>301</v>
      </c>
      <c r="C192" s="368"/>
      <c r="D192" s="368"/>
      <c r="E192" s="235"/>
      <c r="G192" s="364" t="s">
        <v>301</v>
      </c>
      <c r="H192" s="352"/>
      <c r="I192" s="352"/>
      <c r="J192" s="285"/>
    </row>
    <row r="193" spans="2:10" x14ac:dyDescent="0.25">
      <c r="B193" s="373" t="s">
        <v>302</v>
      </c>
      <c r="C193" s="368">
        <v>2872.5030000000002</v>
      </c>
      <c r="D193" s="368">
        <v>2872.5030000000002</v>
      </c>
      <c r="E193" s="245">
        <f>C193/D193-1</f>
        <v>0</v>
      </c>
      <c r="G193" s="369" t="s">
        <v>302</v>
      </c>
      <c r="H193" s="352">
        <v>8053.8990000000003</v>
      </c>
      <c r="I193" s="352">
        <v>8053.8990000000003</v>
      </c>
      <c r="J193" s="285">
        <f t="shared" ref="J193:J197" si="29">H193/I193-1</f>
        <v>0</v>
      </c>
    </row>
    <row r="194" spans="2:10" x14ac:dyDescent="0.25">
      <c r="B194" s="373" t="s">
        <v>303</v>
      </c>
      <c r="C194" s="368">
        <v>56812.81</v>
      </c>
      <c r="D194" s="368">
        <v>56812.81</v>
      </c>
      <c r="E194" s="245">
        <f>C194/D194-1</f>
        <v>0</v>
      </c>
      <c r="G194" s="369" t="s">
        <v>303</v>
      </c>
      <c r="H194" s="352">
        <v>435148.73100000003</v>
      </c>
      <c r="I194" s="352">
        <v>435148.73100000003</v>
      </c>
      <c r="J194" s="285">
        <f t="shared" si="29"/>
        <v>0</v>
      </c>
    </row>
    <row r="195" spans="2:10" ht="14.4" thickBot="1" x14ac:dyDescent="0.3">
      <c r="B195" s="373" t="s">
        <v>327</v>
      </c>
      <c r="C195" s="368">
        <v>7872.6509999999998</v>
      </c>
      <c r="D195" s="368">
        <v>6076.3549999999996</v>
      </c>
      <c r="E195" s="245">
        <f>C195/D195-1</f>
        <v>0.29562064757572593</v>
      </c>
      <c r="G195" s="369" t="s">
        <v>327</v>
      </c>
      <c r="H195" s="352">
        <v>207045.18</v>
      </c>
      <c r="I195" s="352">
        <v>189487.103</v>
      </c>
      <c r="J195" s="285">
        <f t="shared" si="29"/>
        <v>9.2661066225705024E-2</v>
      </c>
    </row>
    <row r="196" spans="2:10" ht="14.4" thickBot="1" x14ac:dyDescent="0.3">
      <c r="B196" s="371" t="s">
        <v>305</v>
      </c>
      <c r="C196" s="370">
        <f>SUM(C193:C195)</f>
        <v>67557.963999999993</v>
      </c>
      <c r="D196" s="370">
        <f>SUM(D193:D195)</f>
        <v>65761.667999999991</v>
      </c>
      <c r="E196" s="375">
        <f>C196/D196-1</f>
        <v>2.7315243889495022E-2</v>
      </c>
      <c r="G196" s="369" t="s">
        <v>328</v>
      </c>
      <c r="H196" s="352">
        <v>-254129.057</v>
      </c>
      <c r="I196" s="352">
        <v>-254129.057</v>
      </c>
      <c r="J196" s="285">
        <f t="shared" si="29"/>
        <v>0</v>
      </c>
    </row>
    <row r="197" spans="2:10" ht="14.4" thickBot="1" x14ac:dyDescent="0.3">
      <c r="E197" s="24"/>
      <c r="G197" s="376" t="s">
        <v>305</v>
      </c>
      <c r="H197" s="377">
        <f>SUM(H193:H196)</f>
        <v>396118.75300000003</v>
      </c>
      <c r="I197" s="377">
        <f>SUM(I193:I196)</f>
        <v>378560.67599999998</v>
      </c>
      <c r="J197" s="205">
        <f t="shared" si="29"/>
        <v>4.638114340222721E-2</v>
      </c>
    </row>
    <row r="198" spans="2:10" ht="14.4" thickBot="1" x14ac:dyDescent="0.3"/>
    <row r="199" spans="2:10" x14ac:dyDescent="0.25">
      <c r="B199" s="787" t="s">
        <v>435</v>
      </c>
      <c r="C199" s="787"/>
      <c r="D199" s="787"/>
      <c r="E199" s="788"/>
      <c r="G199" s="691" t="s">
        <v>252</v>
      </c>
      <c r="H199" s="691"/>
      <c r="I199" s="691"/>
      <c r="J199" s="712"/>
    </row>
    <row r="200" spans="2:10" ht="14.4" thickBot="1" x14ac:dyDescent="0.3">
      <c r="B200" s="694" t="s">
        <v>277</v>
      </c>
      <c r="C200" s="694"/>
      <c r="D200" s="694"/>
      <c r="E200" s="713"/>
      <c r="G200" s="694" t="s">
        <v>277</v>
      </c>
      <c r="H200" s="694"/>
      <c r="I200" s="694"/>
      <c r="J200" s="713"/>
    </row>
    <row r="201" spans="2:10" x14ac:dyDescent="0.25">
      <c r="B201" s="378"/>
      <c r="C201" s="379" t="s">
        <v>340</v>
      </c>
      <c r="D201" s="379" t="s">
        <v>436</v>
      </c>
      <c r="E201" s="380"/>
      <c r="G201" s="334"/>
      <c r="H201" s="217">
        <v>2022</v>
      </c>
      <c r="I201" s="217">
        <v>2021</v>
      </c>
      <c r="J201" s="218"/>
    </row>
    <row r="202" spans="2:10" ht="14.4" thickBot="1" x14ac:dyDescent="0.3">
      <c r="B202" s="381"/>
      <c r="C202" s="382" t="s">
        <v>278</v>
      </c>
      <c r="D202" s="382" t="s">
        <v>278</v>
      </c>
      <c r="E202" s="383"/>
      <c r="G202" s="384"/>
      <c r="H202" s="385" t="s">
        <v>278</v>
      </c>
      <c r="I202" s="385" t="s">
        <v>278</v>
      </c>
      <c r="J202" s="386"/>
    </row>
    <row r="203" spans="2:10" x14ac:dyDescent="0.25">
      <c r="B203" s="387"/>
      <c r="C203" s="363"/>
      <c r="D203" s="363"/>
      <c r="E203" s="231"/>
      <c r="G203" s="388"/>
      <c r="H203" s="389"/>
      <c r="I203" s="390"/>
      <c r="J203" s="207"/>
    </row>
    <row r="204" spans="2:10" x14ac:dyDescent="0.25">
      <c r="B204" s="391" t="s">
        <v>306</v>
      </c>
      <c r="C204" s="366">
        <v>100618</v>
      </c>
      <c r="D204" s="366">
        <v>57930</v>
      </c>
      <c r="E204" s="235">
        <f>C204/D204-1</f>
        <v>0.73688934921456939</v>
      </c>
      <c r="G204" s="392" t="s">
        <v>306</v>
      </c>
      <c r="H204" s="233">
        <v>97609.062000000005</v>
      </c>
      <c r="I204" s="233">
        <v>66595.945000000007</v>
      </c>
      <c r="J204" s="210">
        <f>H204/I204-1</f>
        <v>0.46569077141258375</v>
      </c>
    </row>
    <row r="205" spans="2:10" x14ac:dyDescent="0.25">
      <c r="B205" s="393" t="s">
        <v>307</v>
      </c>
      <c r="C205" s="368">
        <v>-51785</v>
      </c>
      <c r="D205" s="368">
        <v>-37871</v>
      </c>
      <c r="E205" s="235"/>
      <c r="G205" s="394" t="s">
        <v>307</v>
      </c>
      <c r="H205" s="239">
        <v>-83117.357000000004</v>
      </c>
      <c r="I205" s="239">
        <v>-55208.175000000003</v>
      </c>
      <c r="J205" s="210"/>
    </row>
    <row r="206" spans="2:10" x14ac:dyDescent="0.25">
      <c r="B206" s="391" t="s">
        <v>437</v>
      </c>
      <c r="C206" s="366">
        <v>34712</v>
      </c>
      <c r="D206" s="366">
        <v>10647</v>
      </c>
      <c r="E206" s="235">
        <f>(C206/D206-1)</f>
        <v>2.2602611064149527</v>
      </c>
      <c r="G206" s="392" t="s">
        <v>280</v>
      </c>
      <c r="H206" s="233">
        <v>6553.0680000000002</v>
      </c>
      <c r="I206" s="233">
        <v>4351.067</v>
      </c>
      <c r="J206" s="210">
        <f>H206/I206-1</f>
        <v>0.50608299067791873</v>
      </c>
    </row>
    <row r="207" spans="2:10" ht="14.4" thickBot="1" x14ac:dyDescent="0.3">
      <c r="B207" s="393" t="s">
        <v>281</v>
      </c>
      <c r="C207" s="368">
        <v>-26422</v>
      </c>
      <c r="D207" s="368">
        <v>-1198</v>
      </c>
      <c r="E207" s="235"/>
      <c r="G207" s="394" t="s">
        <v>281</v>
      </c>
      <c r="H207" s="239">
        <v>-2187.3809999999999</v>
      </c>
      <c r="I207" s="239">
        <v>-1380.6079999999999</v>
      </c>
      <c r="J207" s="395"/>
    </row>
    <row r="208" spans="2:10" ht="14.4" thickBot="1" x14ac:dyDescent="0.3">
      <c r="B208" s="391" t="s">
        <v>438</v>
      </c>
      <c r="C208" s="396">
        <f>SUM(C206:C207)</f>
        <v>8290</v>
      </c>
      <c r="D208" s="396">
        <f>SUM(D206:D207)</f>
        <v>9449</v>
      </c>
      <c r="E208" s="242">
        <f>(C208/D208-1)</f>
        <v>-0.12265848237908772</v>
      </c>
      <c r="G208" s="397" t="s">
        <v>282</v>
      </c>
      <c r="H208" s="398">
        <v>4365.6869999999999</v>
      </c>
      <c r="I208" s="398">
        <v>2970.4589999999998</v>
      </c>
      <c r="J208" s="205">
        <f>H208/I208-1</f>
        <v>0.4697011471964434</v>
      </c>
    </row>
    <row r="209" spans="2:10" ht="14.4" thickBot="1" x14ac:dyDescent="0.3">
      <c r="B209" s="399" t="s">
        <v>283</v>
      </c>
      <c r="C209" s="400"/>
      <c r="D209" s="400"/>
      <c r="E209" s="235"/>
      <c r="G209" s="401" t="s">
        <v>283</v>
      </c>
      <c r="H209" s="402"/>
      <c r="I209" s="403"/>
      <c r="J209" s="207"/>
    </row>
    <row r="210" spans="2:10" x14ac:dyDescent="0.25">
      <c r="B210" s="404" t="s">
        <v>285</v>
      </c>
      <c r="C210" s="405" t="s">
        <v>340</v>
      </c>
      <c r="D210" s="405" t="s">
        <v>284</v>
      </c>
      <c r="E210" s="235"/>
      <c r="G210" s="324" t="s">
        <v>285</v>
      </c>
      <c r="H210" s="405" t="s">
        <v>340</v>
      </c>
      <c r="I210" s="405" t="s">
        <v>284</v>
      </c>
      <c r="J210" s="210"/>
    </row>
    <row r="211" spans="2:10" x14ac:dyDescent="0.25">
      <c r="B211" s="404" t="s">
        <v>311</v>
      </c>
      <c r="C211" s="400"/>
      <c r="D211" s="400"/>
      <c r="E211" s="235"/>
      <c r="G211" s="324" t="s">
        <v>311</v>
      </c>
      <c r="H211" s="239"/>
      <c r="I211" s="239"/>
      <c r="J211" s="210"/>
    </row>
    <row r="212" spans="2:10" x14ac:dyDescent="0.25">
      <c r="B212" s="406" t="s">
        <v>439</v>
      </c>
      <c r="C212" s="368">
        <v>665025</v>
      </c>
      <c r="D212" s="368">
        <v>660745</v>
      </c>
      <c r="E212" s="245">
        <f t="shared" ref="E212:E220" si="30">C212/D212-1</f>
        <v>6.4775367199145784E-3</v>
      </c>
      <c r="G212" s="407" t="s">
        <v>379</v>
      </c>
      <c r="H212" s="239">
        <v>38130.165999999997</v>
      </c>
      <c r="I212" s="239">
        <v>38734.517</v>
      </c>
      <c r="J212" s="212">
        <f t="shared" ref="J212:J216" si="31">H212/I212-1</f>
        <v>-1.5602388949370494E-2</v>
      </c>
    </row>
    <row r="213" spans="2:10" x14ac:dyDescent="0.25">
      <c r="B213" s="406" t="s">
        <v>440</v>
      </c>
      <c r="C213" s="368">
        <v>10902</v>
      </c>
      <c r="D213" s="368">
        <v>11228</v>
      </c>
      <c r="E213" s="245">
        <f t="shared" si="30"/>
        <v>-2.9034556465977968E-2</v>
      </c>
      <c r="G213" s="407" t="s">
        <v>441</v>
      </c>
      <c r="H213" s="239">
        <v>7357.1589999999997</v>
      </c>
      <c r="I213" s="239">
        <v>7862.1779999999999</v>
      </c>
      <c r="J213" s="212">
        <f t="shared" si="31"/>
        <v>-6.4233981983109589E-2</v>
      </c>
    </row>
    <row r="214" spans="2:10" x14ac:dyDescent="0.25">
      <c r="B214" s="406" t="s">
        <v>331</v>
      </c>
      <c r="C214" s="368">
        <v>2685</v>
      </c>
      <c r="D214" s="368">
        <v>3050</v>
      </c>
      <c r="E214" s="245">
        <f t="shared" si="30"/>
        <v>-0.11967213114754094</v>
      </c>
      <c r="G214" s="407" t="s">
        <v>291</v>
      </c>
      <c r="H214" s="239">
        <v>113.652</v>
      </c>
      <c r="I214" s="239">
        <v>123.30200000000001</v>
      </c>
      <c r="J214" s="212">
        <f t="shared" si="31"/>
        <v>-7.8263126307764663E-2</v>
      </c>
    </row>
    <row r="215" spans="2:10" x14ac:dyDescent="0.25">
      <c r="B215" s="406" t="s">
        <v>291</v>
      </c>
      <c r="C215" s="368">
        <v>54291</v>
      </c>
      <c r="D215" s="368">
        <v>54045</v>
      </c>
      <c r="E215" s="245">
        <f t="shared" si="30"/>
        <v>4.5517624202053852E-3</v>
      </c>
      <c r="G215" s="407" t="s">
        <v>316</v>
      </c>
      <c r="H215" s="239">
        <v>1666.5070000000001</v>
      </c>
      <c r="I215" s="239">
        <v>2830.2750000000001</v>
      </c>
      <c r="J215" s="212">
        <f t="shared" si="31"/>
        <v>-0.41118548550935863</v>
      </c>
    </row>
    <row r="216" spans="2:10" x14ac:dyDescent="0.25">
      <c r="B216" s="406" t="s">
        <v>442</v>
      </c>
      <c r="C216" s="368">
        <v>46849</v>
      </c>
      <c r="D216" s="368">
        <v>46363</v>
      </c>
      <c r="E216" s="245">
        <f t="shared" si="30"/>
        <v>1.0482496818583709E-2</v>
      </c>
      <c r="G216" s="324" t="s">
        <v>313</v>
      </c>
      <c r="H216" s="233">
        <f>SUM(H212:H215)</f>
        <v>47267.483999999997</v>
      </c>
      <c r="I216" s="233">
        <f>SUM(I212:I215)</f>
        <v>49550.272000000004</v>
      </c>
      <c r="J216" s="210">
        <f t="shared" si="31"/>
        <v>-4.6070140644233093E-2</v>
      </c>
    </row>
    <row r="217" spans="2:10" x14ac:dyDescent="0.25">
      <c r="B217" s="406" t="s">
        <v>443</v>
      </c>
      <c r="C217" s="368">
        <v>93722</v>
      </c>
      <c r="D217" s="368">
        <v>92795</v>
      </c>
      <c r="E217" s="245">
        <f t="shared" si="30"/>
        <v>9.9897623794384938E-3</v>
      </c>
      <c r="G217" s="324"/>
      <c r="H217" s="233"/>
      <c r="I217" s="233"/>
      <c r="J217" s="210"/>
    </row>
    <row r="218" spans="2:10" x14ac:dyDescent="0.25">
      <c r="B218" s="406" t="s">
        <v>444</v>
      </c>
      <c r="C218" s="368">
        <v>27814</v>
      </c>
      <c r="D218" s="368">
        <v>27512</v>
      </c>
      <c r="E218" s="245">
        <f t="shared" si="30"/>
        <v>1.0977028205873873E-2</v>
      </c>
      <c r="G218" s="324" t="s">
        <v>314</v>
      </c>
      <c r="H218" s="239"/>
      <c r="I218" s="239"/>
      <c r="J218" s="210"/>
    </row>
    <row r="219" spans="2:10" x14ac:dyDescent="0.25">
      <c r="B219" s="406" t="s">
        <v>445</v>
      </c>
      <c r="C219" s="368">
        <v>433485</v>
      </c>
      <c r="D219" s="368">
        <v>428986</v>
      </c>
      <c r="E219" s="245">
        <f t="shared" si="30"/>
        <v>1.048752173730616E-2</v>
      </c>
      <c r="G219" s="407" t="s">
        <v>315</v>
      </c>
      <c r="H219" s="239">
        <v>35082.629000000001</v>
      </c>
      <c r="I219" s="239">
        <v>29202.091</v>
      </c>
      <c r="J219" s="212">
        <f t="shared" ref="J219:J225" si="32">H219/I219-1</f>
        <v>0.20137386737134677</v>
      </c>
    </row>
    <row r="220" spans="2:10" x14ac:dyDescent="0.25">
      <c r="B220" s="404" t="s">
        <v>313</v>
      </c>
      <c r="C220" s="366">
        <f>SUM(C212:C219)</f>
        <v>1334773</v>
      </c>
      <c r="D220" s="366">
        <f>SUM(D212:D219)</f>
        <v>1324724</v>
      </c>
      <c r="E220" s="235">
        <f t="shared" si="30"/>
        <v>7.5857310654898757E-3</v>
      </c>
      <c r="G220" s="407" t="s">
        <v>446</v>
      </c>
      <c r="H220" s="239">
        <v>1633.079</v>
      </c>
      <c r="I220" s="239">
        <v>1608.5409999999999</v>
      </c>
      <c r="J220" s="212">
        <f t="shared" si="32"/>
        <v>1.5254817875329341E-2</v>
      </c>
    </row>
    <row r="221" spans="2:10" x14ac:dyDescent="0.25">
      <c r="B221" s="404"/>
      <c r="C221" s="366"/>
      <c r="D221" s="366"/>
      <c r="E221" s="235"/>
      <c r="G221" s="407" t="s">
        <v>447</v>
      </c>
      <c r="H221" s="239">
        <v>94844.543999999994</v>
      </c>
      <c r="I221" s="239">
        <v>63966.447</v>
      </c>
      <c r="J221" s="212">
        <f t="shared" si="32"/>
        <v>0.48272334087900792</v>
      </c>
    </row>
    <row r="222" spans="2:10" x14ac:dyDescent="0.25">
      <c r="B222" s="404" t="s">
        <v>314</v>
      </c>
      <c r="C222" s="366"/>
      <c r="D222" s="366"/>
      <c r="E222" s="235"/>
      <c r="G222" s="407" t="s">
        <v>448</v>
      </c>
      <c r="H222" s="239">
        <v>1816.35</v>
      </c>
      <c r="I222" s="239">
        <v>1448.934</v>
      </c>
      <c r="J222" s="212">
        <f t="shared" si="32"/>
        <v>0.25357676747181035</v>
      </c>
    </row>
    <row r="223" spans="2:10" x14ac:dyDescent="0.25">
      <c r="B223" s="406" t="s">
        <v>417</v>
      </c>
      <c r="C223" s="368">
        <v>30884</v>
      </c>
      <c r="D223" s="368">
        <v>30878</v>
      </c>
      <c r="E223" s="245">
        <f t="shared" ref="E223:E230" si="33">C223/D223-1</f>
        <v>1.9431310318029915E-4</v>
      </c>
      <c r="G223" s="407" t="s">
        <v>341</v>
      </c>
      <c r="H223" s="239">
        <v>90288.777000000002</v>
      </c>
      <c r="I223" s="239">
        <v>62952.680999999997</v>
      </c>
      <c r="J223" s="212">
        <f t="shared" si="32"/>
        <v>0.43423243562891312</v>
      </c>
    </row>
    <row r="224" spans="2:10" x14ac:dyDescent="0.25">
      <c r="B224" s="406" t="s">
        <v>449</v>
      </c>
      <c r="C224" s="368">
        <v>140464</v>
      </c>
      <c r="D224" s="368">
        <v>105274</v>
      </c>
      <c r="E224" s="245">
        <f t="shared" si="33"/>
        <v>0.33427057013127648</v>
      </c>
      <c r="G224" s="324" t="s">
        <v>318</v>
      </c>
      <c r="H224" s="233">
        <f>SUM(H219:H223)</f>
        <v>223665.37899999999</v>
      </c>
      <c r="I224" s="233">
        <f>SUM(I219:I223)</f>
        <v>159178.69399999999</v>
      </c>
      <c r="J224" s="210">
        <f t="shared" si="32"/>
        <v>0.40512133489422908</v>
      </c>
    </row>
    <row r="225" spans="2:10" x14ac:dyDescent="0.25">
      <c r="B225" s="406" t="s">
        <v>450</v>
      </c>
      <c r="C225" s="368">
        <v>3298</v>
      </c>
      <c r="D225" s="368">
        <v>1679</v>
      </c>
      <c r="E225" s="245">
        <f t="shared" si="33"/>
        <v>0.96426444312090531</v>
      </c>
      <c r="G225" s="324" t="s">
        <v>319</v>
      </c>
      <c r="H225" s="233">
        <f>H224+H216</f>
        <v>270932.86300000001</v>
      </c>
      <c r="I225" s="233">
        <f>I224+I216</f>
        <v>208728.96599999999</v>
      </c>
      <c r="J225" s="210">
        <f t="shared" si="32"/>
        <v>0.29801276838596524</v>
      </c>
    </row>
    <row r="226" spans="2:10" x14ac:dyDescent="0.25">
      <c r="B226" s="406" t="s">
        <v>444</v>
      </c>
      <c r="C226" s="368">
        <v>1063</v>
      </c>
      <c r="D226" s="368">
        <v>711</v>
      </c>
      <c r="E226" s="245">
        <f t="shared" si="33"/>
        <v>0.49507735583684953</v>
      </c>
      <c r="G226" s="324"/>
      <c r="H226" s="233"/>
      <c r="I226" s="233"/>
      <c r="J226" s="210"/>
    </row>
    <row r="227" spans="2:10" x14ac:dyDescent="0.25">
      <c r="B227" s="406" t="s">
        <v>646</v>
      </c>
      <c r="C227" s="368">
        <v>129973</v>
      </c>
      <c r="D227" s="368">
        <v>133667</v>
      </c>
      <c r="E227" s="245">
        <f t="shared" si="33"/>
        <v>-2.7635841307128928E-2</v>
      </c>
      <c r="G227" s="324" t="s">
        <v>294</v>
      </c>
      <c r="H227" s="233"/>
      <c r="I227" s="233"/>
      <c r="J227" s="210"/>
    </row>
    <row r="228" spans="2:10" x14ac:dyDescent="0.25">
      <c r="B228" s="406" t="s">
        <v>451</v>
      </c>
      <c r="C228" s="368">
        <v>6732</v>
      </c>
      <c r="D228" s="368">
        <v>6603</v>
      </c>
      <c r="E228" s="245">
        <f t="shared" si="33"/>
        <v>1.9536574284416242E-2</v>
      </c>
      <c r="G228" s="324" t="s">
        <v>320</v>
      </c>
      <c r="H228" s="233"/>
      <c r="I228" s="233"/>
      <c r="J228" s="210"/>
    </row>
    <row r="229" spans="2:10" x14ac:dyDescent="0.25">
      <c r="B229" s="404" t="s">
        <v>318</v>
      </c>
      <c r="C229" s="366">
        <f>SUM(C223:C228)</f>
        <v>312414</v>
      </c>
      <c r="D229" s="366">
        <f>SUM(D223:D228)</f>
        <v>278812</v>
      </c>
      <c r="E229" s="235">
        <f t="shared" si="33"/>
        <v>0.12051848557450895</v>
      </c>
      <c r="G229" s="407" t="s">
        <v>321</v>
      </c>
      <c r="H229" s="239">
        <v>6138.03</v>
      </c>
      <c r="I229" s="239">
        <v>5970.5169999999998</v>
      </c>
      <c r="J229" s="212">
        <f>H229/I229-1</f>
        <v>2.8056699277466235E-2</v>
      </c>
    </row>
    <row r="230" spans="2:10" x14ac:dyDescent="0.25">
      <c r="B230" s="404" t="s">
        <v>452</v>
      </c>
      <c r="C230" s="366">
        <f>C229+C220</f>
        <v>1647187</v>
      </c>
      <c r="D230" s="366">
        <f>D229+D220</f>
        <v>1603536</v>
      </c>
      <c r="E230" s="235">
        <f t="shared" si="33"/>
        <v>2.7221715009828173E-2</v>
      </c>
      <c r="G230" s="407" t="s">
        <v>420</v>
      </c>
      <c r="H230" s="239">
        <v>528.255</v>
      </c>
      <c r="I230" s="239">
        <v>548.11400000000003</v>
      </c>
      <c r="J230" s="212">
        <f>H230/I230-1</f>
        <v>-3.6231513882148625E-2</v>
      </c>
    </row>
    <row r="231" spans="2:10" x14ac:dyDescent="0.25">
      <c r="B231" s="404"/>
      <c r="C231" s="366"/>
      <c r="D231" s="366"/>
      <c r="E231" s="235"/>
      <c r="G231" s="407" t="s">
        <v>419</v>
      </c>
      <c r="H231" s="239">
        <v>1143.5989999999999</v>
      </c>
      <c r="I231" s="239">
        <v>1150.202</v>
      </c>
      <c r="J231" s="212">
        <f>H231/I231-1</f>
        <v>-5.7407307585972678E-3</v>
      </c>
    </row>
    <row r="232" spans="2:10" x14ac:dyDescent="0.25">
      <c r="B232" s="404" t="s">
        <v>294</v>
      </c>
      <c r="C232" s="366"/>
      <c r="D232" s="366"/>
      <c r="E232" s="235"/>
      <c r="G232" s="324" t="s">
        <v>313</v>
      </c>
      <c r="H232" s="233">
        <f>SUM(H229:H231)</f>
        <v>7809.884</v>
      </c>
      <c r="I232" s="233">
        <f>SUM(I229:I231)</f>
        <v>7668.8329999999996</v>
      </c>
      <c r="J232" s="210">
        <f>H232/I232-1</f>
        <v>1.8392759367690026E-2</v>
      </c>
    </row>
    <row r="233" spans="2:10" x14ac:dyDescent="0.25">
      <c r="B233" s="404" t="s">
        <v>320</v>
      </c>
      <c r="C233" s="368"/>
      <c r="D233" s="368"/>
      <c r="E233" s="235"/>
      <c r="G233" s="324"/>
      <c r="H233" s="233"/>
      <c r="I233" s="233"/>
      <c r="J233" s="210"/>
    </row>
    <row r="234" spans="2:10" x14ac:dyDescent="0.25">
      <c r="B234" s="406" t="s">
        <v>453</v>
      </c>
      <c r="C234" s="368">
        <v>288950</v>
      </c>
      <c r="D234" s="368">
        <v>290803</v>
      </c>
      <c r="E234" s="245">
        <f t="shared" ref="E234:E239" si="34">C234/D234-1</f>
        <v>-6.3720112928683514E-3</v>
      </c>
      <c r="G234" s="324" t="s">
        <v>323</v>
      </c>
      <c r="H234" s="239"/>
      <c r="I234" s="239"/>
      <c r="J234" s="210"/>
    </row>
    <row r="235" spans="2:10" x14ac:dyDescent="0.25">
      <c r="B235" s="406" t="s">
        <v>420</v>
      </c>
      <c r="C235" s="368">
        <v>607</v>
      </c>
      <c r="D235" s="368">
        <v>198</v>
      </c>
      <c r="E235" s="245">
        <f t="shared" si="34"/>
        <v>2.0656565656565657</v>
      </c>
      <c r="G235" s="407" t="s">
        <v>324</v>
      </c>
      <c r="H235" s="239">
        <v>8156.6080000000002</v>
      </c>
      <c r="I235" s="239">
        <v>6136.74</v>
      </c>
      <c r="J235" s="212">
        <f t="shared" ref="J235:J242" si="35">H235/I235-1</f>
        <v>0.32914348660689563</v>
      </c>
    </row>
    <row r="236" spans="2:10" x14ac:dyDescent="0.25">
      <c r="B236" s="406" t="s">
        <v>454</v>
      </c>
      <c r="C236" s="368">
        <v>64620</v>
      </c>
      <c r="D236" s="368">
        <v>63709</v>
      </c>
      <c r="E236" s="245">
        <f t="shared" si="34"/>
        <v>1.4299392550503054E-2</v>
      </c>
      <c r="G236" s="407" t="s">
        <v>361</v>
      </c>
      <c r="H236" s="239">
        <v>48030.256999999998</v>
      </c>
      <c r="I236" s="239">
        <v>15116.802</v>
      </c>
      <c r="J236" s="212">
        <f t="shared" si="35"/>
        <v>2.1772763180995556</v>
      </c>
    </row>
    <row r="237" spans="2:10" x14ac:dyDescent="0.25">
      <c r="B237" s="406" t="s">
        <v>321</v>
      </c>
      <c r="C237" s="368">
        <v>365755</v>
      </c>
      <c r="D237" s="368">
        <v>343179</v>
      </c>
      <c r="E237" s="245">
        <f t="shared" si="34"/>
        <v>6.5784911081389064E-2</v>
      </c>
      <c r="G237" s="407" t="s">
        <v>419</v>
      </c>
      <c r="H237" s="239">
        <v>0</v>
      </c>
      <c r="I237" s="239">
        <v>7.8929999999999998</v>
      </c>
      <c r="J237" s="212">
        <f t="shared" si="35"/>
        <v>-1</v>
      </c>
    </row>
    <row r="238" spans="2:10" x14ac:dyDescent="0.25">
      <c r="B238" s="406" t="s">
        <v>455</v>
      </c>
      <c r="C238" s="368">
        <v>4900</v>
      </c>
      <c r="D238" s="368">
        <v>4181</v>
      </c>
      <c r="E238" s="245">
        <f t="shared" si="34"/>
        <v>0.17196842860559669</v>
      </c>
      <c r="G238" s="407" t="s">
        <v>456</v>
      </c>
      <c r="H238" s="239">
        <v>157065.33300000001</v>
      </c>
      <c r="I238" s="239">
        <v>134545.29300000001</v>
      </c>
      <c r="J238" s="212">
        <f t="shared" si="35"/>
        <v>0.16737887664342144</v>
      </c>
    </row>
    <row r="239" spans="2:10" x14ac:dyDescent="0.25">
      <c r="B239" s="404" t="s">
        <v>322</v>
      </c>
      <c r="C239" s="366">
        <f>SUM(C234:C238)</f>
        <v>724832</v>
      </c>
      <c r="D239" s="366">
        <f>SUM(D234:D238)</f>
        <v>702070</v>
      </c>
      <c r="E239" s="235">
        <f t="shared" si="34"/>
        <v>3.2421268534476688E-2</v>
      </c>
      <c r="G239" s="407" t="s">
        <v>457</v>
      </c>
      <c r="H239" s="239">
        <v>3248.2739999999999</v>
      </c>
      <c r="I239" s="239">
        <v>3068.991</v>
      </c>
      <c r="J239" s="212">
        <f t="shared" si="35"/>
        <v>5.8417571117021838E-2</v>
      </c>
    </row>
    <row r="240" spans="2:10" x14ac:dyDescent="0.25">
      <c r="B240" s="406"/>
      <c r="C240" s="366"/>
      <c r="D240" s="366"/>
      <c r="E240" s="235"/>
      <c r="G240" s="407" t="s">
        <v>420</v>
      </c>
      <c r="H240" s="239">
        <v>544.63400000000001</v>
      </c>
      <c r="I240" s="239">
        <v>565.10900000000004</v>
      </c>
      <c r="J240" s="212">
        <f t="shared" si="35"/>
        <v>-3.6231948172830375E-2</v>
      </c>
    </row>
    <row r="241" spans="2:10" x14ac:dyDescent="0.25">
      <c r="B241" s="404" t="s">
        <v>323</v>
      </c>
      <c r="C241" s="368"/>
      <c r="D241" s="368"/>
      <c r="E241" s="235"/>
      <c r="G241" s="324" t="s">
        <v>318</v>
      </c>
      <c r="H241" s="233">
        <f>SUM(H235:H240)</f>
        <v>217045.106</v>
      </c>
      <c r="I241" s="233">
        <f>SUM(I235:I240)</f>
        <v>159440.82800000001</v>
      </c>
      <c r="J241" s="212">
        <f t="shared" si="35"/>
        <v>0.36128938065976413</v>
      </c>
    </row>
    <row r="242" spans="2:10" x14ac:dyDescent="0.25">
      <c r="B242" s="406" t="s">
        <v>453</v>
      </c>
      <c r="C242" s="368">
        <v>25250</v>
      </c>
      <c r="D242" s="368">
        <v>24988</v>
      </c>
      <c r="E242" s="245">
        <f t="shared" ref="E242:E248" si="36">C242/D242-1</f>
        <v>1.0485032815751527E-2</v>
      </c>
      <c r="G242" s="324" t="s">
        <v>401</v>
      </c>
      <c r="H242" s="233">
        <f>H241+H232</f>
        <v>224854.99</v>
      </c>
      <c r="I242" s="233">
        <f>I241+I232</f>
        <v>167109.66100000002</v>
      </c>
      <c r="J242" s="210">
        <f t="shared" si="35"/>
        <v>0.3455535045337681</v>
      </c>
    </row>
    <row r="243" spans="2:10" x14ac:dyDescent="0.25">
      <c r="B243" s="406" t="s">
        <v>420</v>
      </c>
      <c r="C243" s="368">
        <v>871</v>
      </c>
      <c r="D243" s="368">
        <v>1273</v>
      </c>
      <c r="E243" s="245">
        <f t="shared" si="36"/>
        <v>-0.31578947368421051</v>
      </c>
      <c r="G243" s="324"/>
      <c r="H243" s="233"/>
      <c r="I243" s="233"/>
      <c r="J243" s="210"/>
    </row>
    <row r="244" spans="2:10" x14ac:dyDescent="0.25">
      <c r="B244" s="406" t="s">
        <v>458</v>
      </c>
      <c r="C244" s="368">
        <v>1848</v>
      </c>
      <c r="D244" s="368">
        <v>1543</v>
      </c>
      <c r="E244" s="245">
        <f t="shared" si="36"/>
        <v>0.1976668826960466</v>
      </c>
      <c r="G244" s="324" t="s">
        <v>402</v>
      </c>
      <c r="H244" s="239"/>
      <c r="I244" s="239"/>
      <c r="J244" s="210"/>
    </row>
    <row r="245" spans="2:10" x14ac:dyDescent="0.25">
      <c r="B245" s="406" t="s">
        <v>325</v>
      </c>
      <c r="C245" s="368">
        <v>148162</v>
      </c>
      <c r="D245" s="368">
        <v>151204</v>
      </c>
      <c r="E245" s="245">
        <f t="shared" si="36"/>
        <v>-2.0118515383190871E-2</v>
      </c>
      <c r="G245" s="407" t="s">
        <v>302</v>
      </c>
      <c r="H245" s="239">
        <v>169.761</v>
      </c>
      <c r="I245" s="239">
        <v>169.761</v>
      </c>
      <c r="J245" s="212">
        <f>H245/I245-1</f>
        <v>0</v>
      </c>
    </row>
    <row r="246" spans="2:10" ht="14.4" thickBot="1" x14ac:dyDescent="0.3">
      <c r="B246" s="406" t="s">
        <v>324</v>
      </c>
      <c r="C246" s="368">
        <v>26583</v>
      </c>
      <c r="D246" s="368">
        <v>19094</v>
      </c>
      <c r="E246" s="245">
        <f t="shared" si="36"/>
        <v>0.39221745050801293</v>
      </c>
      <c r="G246" s="407" t="s">
        <v>327</v>
      </c>
      <c r="H246" s="239">
        <v>45908.112000000001</v>
      </c>
      <c r="I246" s="239">
        <v>41449.544000000002</v>
      </c>
      <c r="J246" s="212">
        <f>H246/I246-1</f>
        <v>0.10756615320062379</v>
      </c>
    </row>
    <row r="247" spans="2:10" ht="14.4" thickBot="1" x14ac:dyDescent="0.3">
      <c r="B247" s="404" t="s">
        <v>336</v>
      </c>
      <c r="C247" s="366">
        <f>SUM(C242:C246)</f>
        <v>202714</v>
      </c>
      <c r="D247" s="366">
        <f>SUM(D242:D246)</f>
        <v>198102</v>
      </c>
      <c r="E247" s="235">
        <f t="shared" si="36"/>
        <v>2.3280936083431847E-2</v>
      </c>
      <c r="G247" s="408" t="s">
        <v>459</v>
      </c>
      <c r="H247" s="398">
        <f>SUM(H245:H246)</f>
        <v>46077.873</v>
      </c>
      <c r="I247" s="398">
        <f>SUM(I245:I246)</f>
        <v>41619.305</v>
      </c>
      <c r="J247" s="205">
        <f>H247/I247-1</f>
        <v>0.10712740157482203</v>
      </c>
    </row>
    <row r="248" spans="2:10" ht="14.4" thickBot="1" x14ac:dyDescent="0.3">
      <c r="B248" s="404" t="s">
        <v>460</v>
      </c>
      <c r="C248" s="366">
        <f>C247+C239</f>
        <v>927546</v>
      </c>
      <c r="D248" s="366">
        <f>D247+D239</f>
        <v>900172</v>
      </c>
      <c r="E248" s="235">
        <f t="shared" si="36"/>
        <v>3.0409743915607246E-2</v>
      </c>
      <c r="J248" s="24"/>
    </row>
    <row r="249" spans="2:10" x14ac:dyDescent="0.25">
      <c r="B249" s="404"/>
      <c r="C249" s="366"/>
      <c r="D249" s="366"/>
      <c r="E249" s="235"/>
      <c r="G249" s="789" t="s">
        <v>461</v>
      </c>
      <c r="H249" s="789"/>
      <c r="I249" s="789"/>
      <c r="J249" s="790"/>
    </row>
    <row r="250" spans="2:10" ht="14.4" thickBot="1" x14ac:dyDescent="0.3">
      <c r="B250" s="404" t="s">
        <v>301</v>
      </c>
      <c r="C250" s="368"/>
      <c r="D250" s="368"/>
      <c r="E250" s="235"/>
      <c r="G250" s="694" t="s">
        <v>462</v>
      </c>
      <c r="H250" s="694"/>
      <c r="I250" s="694"/>
      <c r="J250" s="713"/>
    </row>
    <row r="251" spans="2:10" x14ac:dyDescent="0.25">
      <c r="B251" s="406" t="s">
        <v>302</v>
      </c>
      <c r="C251" s="368">
        <v>296</v>
      </c>
      <c r="D251" s="368">
        <v>296</v>
      </c>
      <c r="E251" s="245">
        <f t="shared" ref="E251:E259" si="37">C251/D251-1</f>
        <v>0</v>
      </c>
      <c r="G251" s="409"/>
      <c r="H251" s="410">
        <v>2022</v>
      </c>
      <c r="I251" s="410">
        <v>2021</v>
      </c>
      <c r="J251" s="411"/>
    </row>
    <row r="252" spans="2:10" ht="14.4" thickBot="1" x14ac:dyDescent="0.3">
      <c r="B252" s="406" t="s">
        <v>303</v>
      </c>
      <c r="C252" s="368">
        <v>90383</v>
      </c>
      <c r="D252" s="368">
        <v>90383</v>
      </c>
      <c r="E252" s="245">
        <f t="shared" si="37"/>
        <v>0</v>
      </c>
      <c r="G252" s="412"/>
      <c r="H252" s="413" t="s">
        <v>278</v>
      </c>
      <c r="I252" s="413" t="s">
        <v>278</v>
      </c>
      <c r="J252" s="414"/>
    </row>
    <row r="253" spans="2:10" x14ac:dyDescent="0.25">
      <c r="B253" s="406" t="s">
        <v>425</v>
      </c>
      <c r="C253" s="368">
        <v>5454</v>
      </c>
      <c r="D253" s="368">
        <v>4914</v>
      </c>
      <c r="E253" s="245">
        <f t="shared" si="37"/>
        <v>0.10989010989010994</v>
      </c>
      <c r="G253" s="415"/>
      <c r="H253" s="416"/>
      <c r="I253" s="416"/>
      <c r="J253" s="417"/>
    </row>
    <row r="254" spans="2:10" x14ac:dyDescent="0.25">
      <c r="B254" s="406" t="s">
        <v>463</v>
      </c>
      <c r="C254" s="368">
        <v>-2027</v>
      </c>
      <c r="D254" s="368">
        <v>-2025</v>
      </c>
      <c r="E254" s="245">
        <f t="shared" si="37"/>
        <v>9.8765432098768535E-4</v>
      </c>
      <c r="G254" s="418" t="s">
        <v>464</v>
      </c>
      <c r="H254" s="213">
        <v>4655.7820000000002</v>
      </c>
      <c r="I254" s="213">
        <v>2124.8829999999998</v>
      </c>
      <c r="J254" s="419">
        <f>H254/I254-1</f>
        <v>1.1910768734090302</v>
      </c>
    </row>
    <row r="255" spans="2:10" x14ac:dyDescent="0.25">
      <c r="B255" s="406" t="s">
        <v>465</v>
      </c>
      <c r="C255" s="368">
        <v>5932</v>
      </c>
      <c r="D255" s="368">
        <v>5932</v>
      </c>
      <c r="E255" s="245">
        <f t="shared" si="37"/>
        <v>0</v>
      </c>
      <c r="G255" s="420" t="s">
        <v>307</v>
      </c>
      <c r="H255" s="211">
        <v>-2848.069</v>
      </c>
      <c r="I255" s="211">
        <v>-1423.7940000000001</v>
      </c>
      <c r="J255" s="419"/>
    </row>
    <row r="256" spans="2:10" x14ac:dyDescent="0.25">
      <c r="B256" s="406" t="s">
        <v>327</v>
      </c>
      <c r="C256" s="368">
        <v>246372</v>
      </c>
      <c r="D256" s="368">
        <v>239429</v>
      </c>
      <c r="E256" s="245">
        <f t="shared" si="37"/>
        <v>2.8998158117855333E-2</v>
      </c>
      <c r="G256" s="418" t="s">
        <v>280</v>
      </c>
      <c r="H256" s="213">
        <v>781.32600000000002</v>
      </c>
      <c r="I256" s="213">
        <v>299.09500000000003</v>
      </c>
      <c r="J256" s="419">
        <f>H256/I256-1</f>
        <v>1.6123004396596397</v>
      </c>
    </row>
    <row r="257" spans="2:10" ht="14.4" thickBot="1" x14ac:dyDescent="0.3">
      <c r="B257" s="406" t="s">
        <v>466</v>
      </c>
      <c r="C257" s="368">
        <v>392722</v>
      </c>
      <c r="D257" s="368">
        <v>385348</v>
      </c>
      <c r="E257" s="245">
        <f t="shared" si="37"/>
        <v>1.9135949842739475E-2</v>
      </c>
      <c r="G257" s="420" t="s">
        <v>281</v>
      </c>
      <c r="H257" s="211">
        <v>-250.024</v>
      </c>
      <c r="I257" s="211">
        <v>-95.71</v>
      </c>
      <c r="J257" s="419"/>
    </row>
    <row r="258" spans="2:10" ht="14.4" thickBot="1" x14ac:dyDescent="0.3">
      <c r="B258" s="406" t="s">
        <v>467</v>
      </c>
      <c r="C258" s="368">
        <v>-19491</v>
      </c>
      <c r="D258" s="368">
        <v>-20913</v>
      </c>
      <c r="E258" s="245">
        <f t="shared" si="37"/>
        <v>-6.799598335963275E-2</v>
      </c>
      <c r="G258" s="418" t="s">
        <v>309</v>
      </c>
      <c r="H258" s="398">
        <f>SUM(H256:H257)</f>
        <v>531.30200000000002</v>
      </c>
      <c r="I258" s="398">
        <f>SUM(I256:I257)</f>
        <v>203.38500000000005</v>
      </c>
      <c r="J258" s="242">
        <f>H258/I258-1</f>
        <v>1.6122968753841231</v>
      </c>
    </row>
    <row r="259" spans="2:10" ht="14.4" thickBot="1" x14ac:dyDescent="0.3">
      <c r="B259" s="421" t="s">
        <v>305</v>
      </c>
      <c r="C259" s="398">
        <f>SUM(C251:C258)</f>
        <v>719641</v>
      </c>
      <c r="D259" s="398">
        <f>SUM(D251:D258)</f>
        <v>703364</v>
      </c>
      <c r="E259" s="242">
        <f t="shared" si="37"/>
        <v>2.3141645008843303E-2</v>
      </c>
      <c r="G259" s="361" t="s">
        <v>283</v>
      </c>
      <c r="H259" s="211"/>
      <c r="I259" s="211"/>
      <c r="J259" s="419"/>
    </row>
    <row r="260" spans="2:10" ht="14.4" thickBot="1" x14ac:dyDescent="0.3">
      <c r="E260" s="24"/>
      <c r="G260" s="364" t="s">
        <v>285</v>
      </c>
      <c r="H260" s="405" t="s">
        <v>340</v>
      </c>
      <c r="I260" s="405" t="s">
        <v>284</v>
      </c>
      <c r="J260" s="419"/>
    </row>
    <row r="261" spans="2:10" x14ac:dyDescent="0.25">
      <c r="B261" s="691" t="s">
        <v>468</v>
      </c>
      <c r="C261" s="692"/>
      <c r="D261" s="692"/>
      <c r="E261" s="693"/>
      <c r="G261" s="364" t="s">
        <v>311</v>
      </c>
      <c r="H261" s="211"/>
      <c r="I261" s="211"/>
      <c r="J261" s="419"/>
    </row>
    <row r="262" spans="2:10" ht="14.4" thickBot="1" x14ac:dyDescent="0.3">
      <c r="B262" s="694" t="s">
        <v>277</v>
      </c>
      <c r="C262" s="695"/>
      <c r="D262" s="695"/>
      <c r="E262" s="696"/>
      <c r="G262" s="369" t="s">
        <v>312</v>
      </c>
      <c r="H262" s="211">
        <v>1391.66</v>
      </c>
      <c r="I262" s="211">
        <v>1374.421</v>
      </c>
      <c r="J262" s="422">
        <f>H262/I262-1</f>
        <v>1.2542736177634017E-2</v>
      </c>
    </row>
    <row r="263" spans="2:10" x14ac:dyDescent="0.25">
      <c r="B263" s="334"/>
      <c r="C263" s="217">
        <v>2022</v>
      </c>
      <c r="D263" s="217">
        <v>2021</v>
      </c>
      <c r="E263" s="218"/>
      <c r="G263" s="369" t="s">
        <v>331</v>
      </c>
      <c r="H263" s="211">
        <v>15.884</v>
      </c>
      <c r="I263" s="211">
        <v>17.384</v>
      </c>
      <c r="J263" s="422">
        <f>H263/I263-1</f>
        <v>-8.6286240220892818E-2</v>
      </c>
    </row>
    <row r="264" spans="2:10" ht="14.4" thickBot="1" x14ac:dyDescent="0.3">
      <c r="B264" s="384"/>
      <c r="C264" s="385" t="s">
        <v>278</v>
      </c>
      <c r="D264" s="385" t="s">
        <v>278</v>
      </c>
      <c r="E264" s="386"/>
      <c r="G264" s="369" t="s">
        <v>291</v>
      </c>
      <c r="H264" s="211">
        <v>252.851</v>
      </c>
      <c r="I264" s="211">
        <v>196.92599999999999</v>
      </c>
      <c r="J264" s="422">
        <f>H264/I264-1</f>
        <v>0.28398992514954857</v>
      </c>
    </row>
    <row r="265" spans="2:10" x14ac:dyDescent="0.25">
      <c r="B265" s="388"/>
      <c r="C265" s="423"/>
      <c r="D265" s="423"/>
      <c r="E265" s="201"/>
      <c r="G265" s="369" t="s">
        <v>469</v>
      </c>
      <c r="H265" s="211">
        <v>10.372</v>
      </c>
      <c r="I265" s="211">
        <v>10.372</v>
      </c>
      <c r="J265" s="422">
        <f>H265/I265-1</f>
        <v>0</v>
      </c>
    </row>
    <row r="266" spans="2:10" x14ac:dyDescent="0.25">
      <c r="B266" s="392" t="s">
        <v>306</v>
      </c>
      <c r="C266" s="424">
        <v>12788.662</v>
      </c>
      <c r="D266" s="424">
        <v>8920.473</v>
      </c>
      <c r="E266" s="203">
        <f>C266/D266-1</f>
        <v>0.43363048125362869</v>
      </c>
      <c r="G266" s="364" t="s">
        <v>313</v>
      </c>
      <c r="H266" s="213">
        <f>SUM(H262:H265)</f>
        <v>1670.7670000000001</v>
      </c>
      <c r="I266" s="213">
        <f>SUM(I262:I265)</f>
        <v>1599.1030000000001</v>
      </c>
      <c r="J266" s="419">
        <f>H266/I266-1</f>
        <v>4.4815124479161028E-2</v>
      </c>
    </row>
    <row r="267" spans="2:10" x14ac:dyDescent="0.25">
      <c r="B267" s="394" t="s">
        <v>307</v>
      </c>
      <c r="C267" s="425">
        <v>-9555.8029999999999</v>
      </c>
      <c r="D267" s="425">
        <v>-7430.7349999999997</v>
      </c>
      <c r="E267" s="203"/>
      <c r="G267" s="364"/>
      <c r="H267" s="213"/>
      <c r="I267" s="213"/>
      <c r="J267" s="419"/>
    </row>
    <row r="268" spans="2:10" x14ac:dyDescent="0.25">
      <c r="B268" s="392" t="s">
        <v>308</v>
      </c>
      <c r="C268" s="424">
        <v>2202.2139999999999</v>
      </c>
      <c r="D268" s="424">
        <v>345.11099999999999</v>
      </c>
      <c r="E268" s="203">
        <f>(C268/D268-1)</f>
        <v>5.3811759115183229</v>
      </c>
      <c r="G268" s="364" t="s">
        <v>314</v>
      </c>
      <c r="H268" s="211"/>
      <c r="I268" s="211"/>
      <c r="J268" s="419"/>
    </row>
    <row r="269" spans="2:10" ht="14.4" thickBot="1" x14ac:dyDescent="0.3">
      <c r="B269" s="394" t="s">
        <v>281</v>
      </c>
      <c r="C269" s="425">
        <v>-660.66399999999999</v>
      </c>
      <c r="D269" s="425">
        <v>-103.533</v>
      </c>
      <c r="E269" s="203"/>
      <c r="G269" s="369" t="s">
        <v>315</v>
      </c>
      <c r="H269" s="211">
        <v>6873.6940000000004</v>
      </c>
      <c r="I269" s="211">
        <v>5484.2219999999998</v>
      </c>
      <c r="J269" s="422">
        <f t="shared" ref="J269:J276" si="38">H269/I269-1</f>
        <v>0.25335808798403869</v>
      </c>
    </row>
    <row r="270" spans="2:10" ht="14.4" thickBot="1" x14ac:dyDescent="0.3">
      <c r="B270" s="392" t="s">
        <v>309</v>
      </c>
      <c r="C270" s="426">
        <f>SUM(C268:C269)</f>
        <v>1541.55</v>
      </c>
      <c r="D270" s="426">
        <f>SUM(D268:D269)</f>
        <v>241.57799999999997</v>
      </c>
      <c r="E270" s="357">
        <f>(C270/D270-1)</f>
        <v>5.3811688150411054</v>
      </c>
      <c r="G270" s="369" t="s">
        <v>316</v>
      </c>
      <c r="H270" s="211">
        <v>630.53700000000003</v>
      </c>
      <c r="I270" s="211">
        <v>551.59299999999996</v>
      </c>
      <c r="J270" s="422">
        <f t="shared" si="38"/>
        <v>0.14312001783924022</v>
      </c>
    </row>
    <row r="271" spans="2:10" ht="14.4" thickBot="1" x14ac:dyDescent="0.3">
      <c r="B271" s="401" t="s">
        <v>283</v>
      </c>
      <c r="C271" s="425"/>
      <c r="D271" s="425"/>
      <c r="E271" s="203"/>
      <c r="G271" s="369" t="s">
        <v>469</v>
      </c>
      <c r="H271" s="211">
        <v>3.3</v>
      </c>
      <c r="I271" s="211">
        <v>3.3</v>
      </c>
      <c r="J271" s="422">
        <f t="shared" si="38"/>
        <v>0</v>
      </c>
    </row>
    <row r="272" spans="2:10" x14ac:dyDescent="0.25">
      <c r="B272" s="324" t="s">
        <v>285</v>
      </c>
      <c r="C272" s="405" t="s">
        <v>340</v>
      </c>
      <c r="D272" s="405" t="s">
        <v>284</v>
      </c>
      <c r="E272" s="203"/>
      <c r="G272" s="369" t="s">
        <v>386</v>
      </c>
      <c r="H272" s="211">
        <v>797.99300000000005</v>
      </c>
      <c r="I272" s="211">
        <v>1663.4269999999999</v>
      </c>
      <c r="J272" s="422">
        <f t="shared" si="38"/>
        <v>-0.52027170413850432</v>
      </c>
    </row>
    <row r="273" spans="2:10" x14ac:dyDescent="0.25">
      <c r="B273" s="324" t="s">
        <v>311</v>
      </c>
      <c r="C273" s="425"/>
      <c r="D273" s="425"/>
      <c r="E273" s="203"/>
      <c r="G273" s="369" t="s">
        <v>317</v>
      </c>
      <c r="H273" s="211">
        <v>2112.971</v>
      </c>
      <c r="I273" s="211">
        <v>2571.991</v>
      </c>
      <c r="J273" s="422">
        <f t="shared" si="38"/>
        <v>-0.17846874269777768</v>
      </c>
    </row>
    <row r="274" spans="2:10" x14ac:dyDescent="0.25">
      <c r="B274" s="407" t="s">
        <v>470</v>
      </c>
      <c r="C274" s="425">
        <v>13475.964</v>
      </c>
      <c r="D274" s="425">
        <v>13018.307000000001</v>
      </c>
      <c r="E274" s="285">
        <f>C274/D274-1</f>
        <v>3.5154878433885317E-2</v>
      </c>
      <c r="G274" s="369" t="s">
        <v>384</v>
      </c>
      <c r="H274" s="211">
        <v>242.28299999999999</v>
      </c>
      <c r="I274" s="211">
        <v>242.28299999999999</v>
      </c>
      <c r="J274" s="422">
        <f t="shared" si="38"/>
        <v>0</v>
      </c>
    </row>
    <row r="275" spans="2:10" x14ac:dyDescent="0.25">
      <c r="B275" s="407" t="s">
        <v>331</v>
      </c>
      <c r="C275" s="425">
        <v>17.667000000000002</v>
      </c>
      <c r="D275" s="425">
        <v>21.331</v>
      </c>
      <c r="E275" s="285">
        <f t="shared" ref="E275:E276" si="39">C275/D275-1</f>
        <v>-0.17176878721110111</v>
      </c>
      <c r="G275" s="364" t="s">
        <v>318</v>
      </c>
      <c r="H275" s="213">
        <f>SUM(H269:H274)</f>
        <v>10660.778</v>
      </c>
      <c r="I275" s="213">
        <f>SUM(I269:I274)</f>
        <v>10516.815999999999</v>
      </c>
      <c r="J275" s="419">
        <f t="shared" si="38"/>
        <v>1.368874381752061E-2</v>
      </c>
    </row>
    <row r="276" spans="2:10" x14ac:dyDescent="0.25">
      <c r="B276" s="407" t="s">
        <v>291</v>
      </c>
      <c r="C276" s="425">
        <v>11.509</v>
      </c>
      <c r="D276" s="425">
        <v>13.074999999999999</v>
      </c>
      <c r="E276" s="285">
        <f t="shared" si="39"/>
        <v>-0.11977055449330776</v>
      </c>
      <c r="G276" s="364" t="s">
        <v>389</v>
      </c>
      <c r="H276" s="213">
        <f>H275+H266</f>
        <v>12331.545</v>
      </c>
      <c r="I276" s="213">
        <f>I275+I266</f>
        <v>12115.918999999998</v>
      </c>
      <c r="J276" s="419">
        <f t="shared" si="38"/>
        <v>1.7796916602034196E-2</v>
      </c>
    </row>
    <row r="277" spans="2:10" x14ac:dyDescent="0.25">
      <c r="B277" s="324" t="s">
        <v>313</v>
      </c>
      <c r="C277" s="424">
        <f>SUM(C274:C276)</f>
        <v>13505.14</v>
      </c>
      <c r="D277" s="424">
        <f>SUM(D274:D276)</f>
        <v>13052.713000000002</v>
      </c>
      <c r="E277" s="203">
        <f>C277/D277-1</f>
        <v>3.4661529752473497E-2</v>
      </c>
      <c r="G277" s="364"/>
      <c r="H277" s="211"/>
      <c r="I277" s="211"/>
      <c r="J277" s="419"/>
    </row>
    <row r="278" spans="2:10" x14ac:dyDescent="0.25">
      <c r="B278" s="324"/>
      <c r="C278" s="424"/>
      <c r="D278" s="424"/>
      <c r="E278" s="203"/>
      <c r="G278" s="364" t="s">
        <v>294</v>
      </c>
      <c r="H278" s="211"/>
      <c r="I278" s="211"/>
      <c r="J278" s="419"/>
    </row>
    <row r="279" spans="2:10" x14ac:dyDescent="0.25">
      <c r="B279" s="324" t="s">
        <v>314</v>
      </c>
      <c r="C279" s="425"/>
      <c r="D279" s="425"/>
      <c r="E279" s="285"/>
      <c r="G279" s="364" t="s">
        <v>320</v>
      </c>
      <c r="H279" s="211"/>
      <c r="I279" s="211"/>
      <c r="J279" s="419"/>
    </row>
    <row r="280" spans="2:10" x14ac:dyDescent="0.25">
      <c r="B280" s="407" t="s">
        <v>315</v>
      </c>
      <c r="C280" s="425">
        <v>8996.6090000000004</v>
      </c>
      <c r="D280" s="425">
        <v>8100.73</v>
      </c>
      <c r="E280" s="285">
        <f t="shared" ref="E280:E285" si="40">C280/D280-1</f>
        <v>0.11059237871154837</v>
      </c>
      <c r="G280" s="369" t="s">
        <v>471</v>
      </c>
      <c r="H280" s="211">
        <v>8.2010000000000005</v>
      </c>
      <c r="I280" s="211">
        <v>7.8739999999999997</v>
      </c>
      <c r="J280" s="422">
        <f>H280/I280-1</f>
        <v>4.1529083058166272E-2</v>
      </c>
    </row>
    <row r="281" spans="2:10" x14ac:dyDescent="0.25">
      <c r="B281" s="407" t="s">
        <v>316</v>
      </c>
      <c r="C281" s="425">
        <v>4897.0290000000005</v>
      </c>
      <c r="D281" s="425">
        <v>4053.3389999999999</v>
      </c>
      <c r="E281" s="285">
        <f t="shared" si="40"/>
        <v>0.20814691295250665</v>
      </c>
      <c r="G281" s="369" t="s">
        <v>321</v>
      </c>
      <c r="H281" s="211">
        <v>165.809</v>
      </c>
      <c r="I281" s="211">
        <v>165.809</v>
      </c>
      <c r="J281" s="422">
        <f>H281/I281-1</f>
        <v>0</v>
      </c>
    </row>
    <row r="282" spans="2:10" x14ac:dyDescent="0.25">
      <c r="B282" s="427" t="s">
        <v>386</v>
      </c>
      <c r="C282" s="425">
        <v>1063.116</v>
      </c>
      <c r="D282" s="425">
        <v>657.37800000000004</v>
      </c>
      <c r="E282" s="285">
        <f t="shared" si="40"/>
        <v>0.6172065387037593</v>
      </c>
      <c r="G282" s="364" t="s">
        <v>322</v>
      </c>
      <c r="H282" s="213">
        <f>SUM(H280:H281)</f>
        <v>174.01</v>
      </c>
      <c r="I282" s="213">
        <f>SUM(I280:I281)</f>
        <v>173.68299999999999</v>
      </c>
      <c r="J282" s="419">
        <f>H282/I282-1</f>
        <v>1.8827403948573629E-3</v>
      </c>
    </row>
    <row r="283" spans="2:10" x14ac:dyDescent="0.25">
      <c r="B283" s="407" t="s">
        <v>317</v>
      </c>
      <c r="C283" s="425">
        <v>20889.892</v>
      </c>
      <c r="D283" s="425">
        <v>17824.131000000001</v>
      </c>
      <c r="E283" s="285">
        <f t="shared" si="40"/>
        <v>0.17200058729370871</v>
      </c>
      <c r="G283" s="364"/>
      <c r="H283" s="213"/>
      <c r="I283" s="213"/>
      <c r="J283" s="419"/>
    </row>
    <row r="284" spans="2:10" x14ac:dyDescent="0.25">
      <c r="B284" s="324" t="s">
        <v>318</v>
      </c>
      <c r="C284" s="424">
        <f>SUM(C280:C283)</f>
        <v>35846.646000000001</v>
      </c>
      <c r="D284" s="424">
        <f>SUM(D280:D283)</f>
        <v>30635.578000000001</v>
      </c>
      <c r="E284" s="203">
        <f t="shared" si="40"/>
        <v>0.17009856970872228</v>
      </c>
      <c r="G284" s="364" t="s">
        <v>323</v>
      </c>
      <c r="H284" s="211"/>
      <c r="I284" s="211"/>
      <c r="J284" s="419"/>
    </row>
    <row r="285" spans="2:10" x14ac:dyDescent="0.25">
      <c r="B285" s="324" t="s">
        <v>389</v>
      </c>
      <c r="C285" s="424">
        <f>C284+C277</f>
        <v>49351.786</v>
      </c>
      <c r="D285" s="424">
        <f>D284+D277</f>
        <v>43688.291000000005</v>
      </c>
      <c r="E285" s="203">
        <f t="shared" si="40"/>
        <v>0.12963416216029122</v>
      </c>
      <c r="G285" s="369" t="s">
        <v>325</v>
      </c>
      <c r="H285" s="211">
        <v>4907.8559999999998</v>
      </c>
      <c r="I285" s="211">
        <v>5664.9189999999999</v>
      </c>
      <c r="J285" s="422">
        <f>H285/I285-1</f>
        <v>-0.1336405692649798</v>
      </c>
    </row>
    <row r="286" spans="2:10" x14ac:dyDescent="0.25">
      <c r="B286" s="324"/>
      <c r="C286" s="425"/>
      <c r="D286" s="425"/>
      <c r="E286" s="203"/>
      <c r="G286" s="369" t="s">
        <v>471</v>
      </c>
      <c r="H286" s="211">
        <v>1.417</v>
      </c>
      <c r="I286" s="211">
        <v>1.417</v>
      </c>
      <c r="J286" s="422">
        <f>H286/I286-1</f>
        <v>0</v>
      </c>
    </row>
    <row r="287" spans="2:10" x14ac:dyDescent="0.25">
      <c r="B287" s="324" t="s">
        <v>294</v>
      </c>
      <c r="C287" s="425"/>
      <c r="D287" s="425"/>
      <c r="E287" s="203"/>
      <c r="G287" s="369" t="s">
        <v>472</v>
      </c>
      <c r="H287" s="211">
        <v>786.15099999999995</v>
      </c>
      <c r="I287" s="211">
        <v>536.12800000000004</v>
      </c>
      <c r="J287" s="422">
        <f>H287/I287-1</f>
        <v>0.46634945386176407</v>
      </c>
    </row>
    <row r="288" spans="2:10" x14ac:dyDescent="0.25">
      <c r="B288" s="324" t="s">
        <v>320</v>
      </c>
      <c r="C288" s="425"/>
      <c r="D288" s="425"/>
      <c r="E288" s="203"/>
      <c r="G288" s="369" t="s">
        <v>396</v>
      </c>
      <c r="H288" s="211">
        <v>197.20599999999999</v>
      </c>
      <c r="I288" s="211">
        <v>1323.8140000000001</v>
      </c>
      <c r="J288" s="422">
        <f>H288/I288-1</f>
        <v>-0.85103194255386327</v>
      </c>
    </row>
    <row r="289" spans="2:10" x14ac:dyDescent="0.25">
      <c r="B289" s="407" t="s">
        <v>361</v>
      </c>
      <c r="C289" s="425">
        <v>6549.67</v>
      </c>
      <c r="D289" s="425">
        <v>6596.0829999999996</v>
      </c>
      <c r="E289" s="285">
        <f>C289/D289-1</f>
        <v>-7.0364487529946951E-3</v>
      </c>
      <c r="G289" s="369" t="s">
        <v>473</v>
      </c>
      <c r="H289" s="211">
        <v>1323.8140000000001</v>
      </c>
      <c r="I289" s="211">
        <v>6.17</v>
      </c>
      <c r="J289" s="422">
        <v>0</v>
      </c>
    </row>
    <row r="290" spans="2:10" x14ac:dyDescent="0.25">
      <c r="B290" s="407" t="s">
        <v>474</v>
      </c>
      <c r="C290" s="425">
        <v>758.24</v>
      </c>
      <c r="D290" s="425">
        <v>758.24</v>
      </c>
      <c r="E290" s="285">
        <f>C290/D290-1</f>
        <v>0</v>
      </c>
      <c r="G290" s="364" t="s">
        <v>336</v>
      </c>
      <c r="H290" s="213">
        <f>SUM(H285:H289)</f>
        <v>7216.4440000000004</v>
      </c>
      <c r="I290" s="213">
        <f>SUM(I285:I289)</f>
        <v>7532.4480000000003</v>
      </c>
      <c r="J290" s="419">
        <f>H290/I290-1</f>
        <v>-4.1952363959233407E-2</v>
      </c>
    </row>
    <row r="291" spans="2:10" x14ac:dyDescent="0.25">
      <c r="B291" s="407" t="s">
        <v>419</v>
      </c>
      <c r="C291" s="425">
        <v>701.10799999999995</v>
      </c>
      <c r="D291" s="425">
        <v>668.01700000000005</v>
      </c>
      <c r="E291" s="285">
        <f>C291/D291-1</f>
        <v>4.9536164498807489E-2</v>
      </c>
      <c r="G291" s="364" t="s">
        <v>460</v>
      </c>
      <c r="H291" s="213">
        <f>H290+H282</f>
        <v>7390.4540000000006</v>
      </c>
      <c r="I291" s="213">
        <f>I290+I282</f>
        <v>7706.1310000000003</v>
      </c>
      <c r="J291" s="419">
        <f>H291/I291-1</f>
        <v>-4.0964395751901916E-2</v>
      </c>
    </row>
    <row r="292" spans="2:10" x14ac:dyDescent="0.25">
      <c r="B292" s="407" t="s">
        <v>420</v>
      </c>
      <c r="C292" s="425">
        <v>3.3780000000000001</v>
      </c>
      <c r="D292" s="425">
        <v>4.8899999999999997</v>
      </c>
      <c r="E292" s="285">
        <f>C292/D292-1</f>
        <v>-0.30920245398772994</v>
      </c>
      <c r="G292" s="364"/>
      <c r="H292" s="211"/>
      <c r="I292" s="211"/>
      <c r="J292" s="419"/>
    </row>
    <row r="293" spans="2:10" x14ac:dyDescent="0.25">
      <c r="B293" s="324" t="s">
        <v>322</v>
      </c>
      <c r="C293" s="424">
        <f>SUM(C289:C292)</f>
        <v>8012.3959999999997</v>
      </c>
      <c r="D293" s="424">
        <f>SUM(D289:D292)</f>
        <v>8027.23</v>
      </c>
      <c r="E293" s="203">
        <f>C293/D293-1</f>
        <v>-1.8479600061290791E-3</v>
      </c>
      <c r="G293" s="364" t="s">
        <v>301</v>
      </c>
      <c r="H293" s="211"/>
      <c r="I293" s="211"/>
      <c r="J293" s="419"/>
    </row>
    <row r="294" spans="2:10" x14ac:dyDescent="0.25">
      <c r="B294" s="324"/>
      <c r="C294" s="424"/>
      <c r="D294" s="424"/>
      <c r="E294" s="203"/>
      <c r="G294" s="369" t="s">
        <v>302</v>
      </c>
      <c r="H294" s="211">
        <v>394.13</v>
      </c>
      <c r="I294" s="211">
        <v>394.13200000000001</v>
      </c>
      <c r="J294" s="422">
        <f>H294/I294-1</f>
        <v>-5.0744420651005484E-6</v>
      </c>
    </row>
    <row r="295" spans="2:10" x14ac:dyDescent="0.25">
      <c r="B295" s="324" t="s">
        <v>323</v>
      </c>
      <c r="C295" s="425"/>
      <c r="D295" s="425"/>
      <c r="E295" s="203"/>
      <c r="G295" s="369" t="s">
        <v>303</v>
      </c>
      <c r="H295" s="211">
        <v>19.254000000000001</v>
      </c>
      <c r="I295" s="211">
        <v>19.254000000000001</v>
      </c>
      <c r="J295" s="422">
        <f>H295/I295-1</f>
        <v>0</v>
      </c>
    </row>
    <row r="296" spans="2:10" x14ac:dyDescent="0.25">
      <c r="B296" s="407" t="s">
        <v>361</v>
      </c>
      <c r="C296" s="425">
        <v>6340.6059999999998</v>
      </c>
      <c r="D296" s="425">
        <v>3884.2689999999998</v>
      </c>
      <c r="E296" s="285">
        <f>C296/D296-1</f>
        <v>0.6323807645659969</v>
      </c>
      <c r="G296" s="369" t="s">
        <v>475</v>
      </c>
      <c r="H296" s="211">
        <v>968.26700000000005</v>
      </c>
      <c r="I296" s="211">
        <v>968.26700000000005</v>
      </c>
      <c r="J296" s="422">
        <f>H296/I296-1</f>
        <v>0</v>
      </c>
    </row>
    <row r="297" spans="2:10" ht="14.4" thickBot="1" x14ac:dyDescent="0.3">
      <c r="B297" s="407" t="s">
        <v>324</v>
      </c>
      <c r="C297" s="425">
        <v>770.96</v>
      </c>
      <c r="D297" s="425">
        <v>110.29600000000001</v>
      </c>
      <c r="E297" s="285">
        <f t="shared" ref="E297:E301" si="41">C297/D297-1</f>
        <v>5.9899180387321387</v>
      </c>
      <c r="G297" s="369" t="s">
        <v>327</v>
      </c>
      <c r="H297" s="211">
        <v>3559.4380000000001</v>
      </c>
      <c r="I297" s="211">
        <v>3028.1370000000002</v>
      </c>
      <c r="J297" s="422">
        <f>H297/I297-1</f>
        <v>0.17545474329596056</v>
      </c>
    </row>
    <row r="298" spans="2:10" ht="14.4" thickBot="1" x14ac:dyDescent="0.3">
      <c r="B298" s="407" t="s">
        <v>325</v>
      </c>
      <c r="C298" s="425">
        <v>19048.272000000001</v>
      </c>
      <c r="D298" s="425">
        <v>18030.034</v>
      </c>
      <c r="E298" s="285">
        <f t="shared" si="41"/>
        <v>5.647454685886899E-2</v>
      </c>
      <c r="G298" s="428" t="s">
        <v>305</v>
      </c>
      <c r="H298" s="398">
        <f>SUM(H294:H297)</f>
        <v>4941.0889999999999</v>
      </c>
      <c r="I298" s="398">
        <f>SUM(I294:I297)</f>
        <v>4409.79</v>
      </c>
      <c r="J298" s="429">
        <f>H298/I298-1</f>
        <v>0.1204817009426753</v>
      </c>
    </row>
    <row r="299" spans="2:10" ht="14.4" thickBot="1" x14ac:dyDescent="0.3">
      <c r="B299" s="407" t="s">
        <v>420</v>
      </c>
      <c r="C299" s="425">
        <v>1.649</v>
      </c>
      <c r="D299" s="425">
        <v>0.108</v>
      </c>
      <c r="E299" s="285">
        <f t="shared" si="41"/>
        <v>14.268518518518519</v>
      </c>
      <c r="J299" s="24"/>
    </row>
    <row r="300" spans="2:10" x14ac:dyDescent="0.25">
      <c r="B300" s="324" t="s">
        <v>336</v>
      </c>
      <c r="C300" s="424">
        <f>SUM(C296:C299)</f>
        <v>26161.487000000001</v>
      </c>
      <c r="D300" s="424">
        <f>SUM(D296:D299)</f>
        <v>22024.706999999999</v>
      </c>
      <c r="E300" s="203">
        <f t="shared" si="41"/>
        <v>0.18782451907305742</v>
      </c>
      <c r="G300" s="791" t="s">
        <v>476</v>
      </c>
      <c r="H300" s="792"/>
      <c r="I300" s="792"/>
      <c r="J300" s="793"/>
    </row>
    <row r="301" spans="2:10" ht="14.4" thickBot="1" x14ac:dyDescent="0.3">
      <c r="B301" s="324" t="s">
        <v>460</v>
      </c>
      <c r="C301" s="424">
        <f>C300+C293</f>
        <v>34173.883000000002</v>
      </c>
      <c r="D301" s="424">
        <f>D300+D293</f>
        <v>30051.936999999998</v>
      </c>
      <c r="E301" s="203">
        <f t="shared" si="41"/>
        <v>0.13716074275012624</v>
      </c>
      <c r="G301" s="709" t="s">
        <v>477</v>
      </c>
      <c r="H301" s="710"/>
      <c r="I301" s="710"/>
      <c r="J301" s="711"/>
    </row>
    <row r="302" spans="2:10" x14ac:dyDescent="0.25">
      <c r="B302" s="324"/>
      <c r="C302" s="425"/>
      <c r="D302" s="425"/>
      <c r="E302" s="203"/>
      <c r="G302" s="430"/>
      <c r="H302" s="431">
        <v>2022</v>
      </c>
      <c r="I302" s="431">
        <v>2021</v>
      </c>
      <c r="J302" s="432"/>
    </row>
    <row r="303" spans="2:10" ht="14.4" thickBot="1" x14ac:dyDescent="0.3">
      <c r="B303" s="324" t="s">
        <v>301</v>
      </c>
      <c r="C303" s="425"/>
      <c r="D303" s="425"/>
      <c r="E303" s="203"/>
      <c r="G303" s="433"/>
      <c r="H303" s="434" t="s">
        <v>278</v>
      </c>
      <c r="I303" s="434" t="s">
        <v>278</v>
      </c>
      <c r="J303" s="435"/>
    </row>
    <row r="304" spans="2:10" x14ac:dyDescent="0.25">
      <c r="B304" s="407" t="s">
        <v>302</v>
      </c>
      <c r="C304" s="425">
        <v>939.101</v>
      </c>
      <c r="D304" s="425">
        <v>939.101</v>
      </c>
      <c r="E304" s="285">
        <f t="shared" ref="E304:E309" si="42">C304/D304-1</f>
        <v>0</v>
      </c>
      <c r="G304" s="436"/>
      <c r="H304" s="437"/>
      <c r="I304" s="437"/>
      <c r="J304" s="437"/>
    </row>
    <row r="305" spans="2:10" x14ac:dyDescent="0.25">
      <c r="B305" s="407" t="s">
        <v>303</v>
      </c>
      <c r="C305" s="425">
        <v>272.34399999999999</v>
      </c>
      <c r="D305" s="425">
        <v>272.34399999999999</v>
      </c>
      <c r="E305" s="285">
        <f t="shared" si="42"/>
        <v>0</v>
      </c>
      <c r="G305" s="438" t="s">
        <v>279</v>
      </c>
      <c r="H305" s="439">
        <v>295736</v>
      </c>
      <c r="I305" s="439">
        <v>222140</v>
      </c>
      <c r="J305" s="440">
        <f t="shared" ref="J305:J306" si="43">H305/I305-1</f>
        <v>0.33130458269559737</v>
      </c>
    </row>
    <row r="306" spans="2:10" x14ac:dyDescent="0.25">
      <c r="B306" s="407" t="s">
        <v>328</v>
      </c>
      <c r="C306" s="425">
        <v>3436.348</v>
      </c>
      <c r="D306" s="425">
        <v>3436.348</v>
      </c>
      <c r="E306" s="285">
        <f t="shared" si="42"/>
        <v>0</v>
      </c>
      <c r="G306" s="438" t="s">
        <v>280</v>
      </c>
      <c r="H306" s="439">
        <v>65134</v>
      </c>
      <c r="I306" s="439">
        <v>60048</v>
      </c>
      <c r="J306" s="440">
        <f t="shared" si="43"/>
        <v>8.4698907540634139E-2</v>
      </c>
    </row>
    <row r="307" spans="2:10" ht="14.4" thickBot="1" x14ac:dyDescent="0.3">
      <c r="B307" s="407" t="s">
        <v>425</v>
      </c>
      <c r="C307" s="425">
        <v>153.22</v>
      </c>
      <c r="D307" s="425">
        <v>153.22</v>
      </c>
      <c r="E307" s="285">
        <f t="shared" si="42"/>
        <v>0</v>
      </c>
      <c r="G307" s="436" t="s">
        <v>281</v>
      </c>
      <c r="H307" s="441">
        <v>-7735</v>
      </c>
      <c r="I307" s="441">
        <v>-7503</v>
      </c>
      <c r="J307" s="442"/>
    </row>
    <row r="308" spans="2:10" ht="14.4" thickBot="1" x14ac:dyDescent="0.3">
      <c r="B308" s="443" t="s">
        <v>327</v>
      </c>
      <c r="C308" s="425">
        <v>10376.891</v>
      </c>
      <c r="D308" s="425">
        <v>8835.3410000000003</v>
      </c>
      <c r="E308" s="285">
        <f t="shared" si="42"/>
        <v>0.17447543903512042</v>
      </c>
      <c r="G308" s="444" t="s">
        <v>478</v>
      </c>
      <c r="H308" s="445">
        <v>57399</v>
      </c>
      <c r="I308" s="445">
        <v>52545</v>
      </c>
      <c r="J308" s="446">
        <f t="shared" ref="J308" si="44">H308/I308-1</f>
        <v>9.2377961747073911E-2</v>
      </c>
    </row>
    <row r="309" spans="2:10" ht="14.4" thickBot="1" x14ac:dyDescent="0.3">
      <c r="B309" s="408" t="s">
        <v>305</v>
      </c>
      <c r="C309" s="426">
        <f>SUM(C304:C308)</f>
        <v>15177.903999999999</v>
      </c>
      <c r="D309" s="426">
        <f>SUM(D304:D308)</f>
        <v>13636.353999999999</v>
      </c>
      <c r="E309" s="205">
        <f t="shared" si="42"/>
        <v>0.11304707988660301</v>
      </c>
      <c r="G309" s="444" t="s">
        <v>283</v>
      </c>
      <c r="H309" s="447"/>
      <c r="I309" s="437"/>
      <c r="J309" s="442"/>
    </row>
    <row r="310" spans="2:10" ht="14.4" thickBot="1" x14ac:dyDescent="0.3">
      <c r="E310" s="24"/>
      <c r="G310" s="448"/>
      <c r="H310" s="405" t="s">
        <v>340</v>
      </c>
      <c r="I310" s="405" t="s">
        <v>284</v>
      </c>
      <c r="J310" s="442"/>
    </row>
    <row r="311" spans="2:10" x14ac:dyDescent="0.25">
      <c r="B311" s="746" t="s">
        <v>479</v>
      </c>
      <c r="C311" s="746"/>
      <c r="D311" s="746"/>
      <c r="E311" s="747"/>
      <c r="G311" s="448" t="s">
        <v>285</v>
      </c>
      <c r="H311" s="447"/>
      <c r="I311" s="437"/>
      <c r="J311" s="442"/>
    </row>
    <row r="312" spans="2:10" ht="14.4" thickBot="1" x14ac:dyDescent="0.3">
      <c r="B312" s="694" t="s">
        <v>277</v>
      </c>
      <c r="C312" s="694"/>
      <c r="D312" s="694"/>
      <c r="E312" s="713"/>
      <c r="G312" s="449" t="s">
        <v>317</v>
      </c>
      <c r="H312" s="450">
        <v>1417893</v>
      </c>
      <c r="I312" s="450">
        <v>1487665.2109999999</v>
      </c>
      <c r="J312" s="451">
        <f t="shared" ref="J312:J327" si="45">H312/I312-1</f>
        <v>-4.6900479008378126E-2</v>
      </c>
    </row>
    <row r="313" spans="2:10" x14ac:dyDescent="0.25">
      <c r="B313" s="334"/>
      <c r="C313" s="452">
        <v>2022</v>
      </c>
      <c r="D313" s="452">
        <v>2021</v>
      </c>
      <c r="E313" s="218"/>
      <c r="G313" s="449" t="s">
        <v>480</v>
      </c>
      <c r="H313" s="450">
        <v>33745</v>
      </c>
      <c r="I313" s="450">
        <v>34941.860999999997</v>
      </c>
      <c r="J313" s="451">
        <f t="shared" si="45"/>
        <v>-3.4252926597126532E-2</v>
      </c>
    </row>
    <row r="314" spans="2:10" ht="14.4" thickBot="1" x14ac:dyDescent="0.3">
      <c r="B314" s="453"/>
      <c r="C314" s="454" t="s">
        <v>278</v>
      </c>
      <c r="D314" s="454" t="s">
        <v>278</v>
      </c>
      <c r="E314" s="455"/>
      <c r="G314" s="449" t="s">
        <v>481</v>
      </c>
      <c r="H314" s="450">
        <v>855171</v>
      </c>
      <c r="I314" s="450">
        <v>892508.02</v>
      </c>
      <c r="J314" s="451">
        <f t="shared" si="45"/>
        <v>-4.1833820159957846E-2</v>
      </c>
    </row>
    <row r="315" spans="2:10" x14ac:dyDescent="0.25">
      <c r="B315" s="456"/>
      <c r="C315" s="457"/>
      <c r="D315" s="458"/>
      <c r="E315" s="183"/>
      <c r="G315" s="449" t="s">
        <v>458</v>
      </c>
      <c r="H315" s="450">
        <v>79087</v>
      </c>
      <c r="I315" s="450">
        <v>171331.57699999999</v>
      </c>
      <c r="J315" s="451">
        <f t="shared" si="45"/>
        <v>-0.53839799186579596</v>
      </c>
    </row>
    <row r="316" spans="2:10" x14ac:dyDescent="0.25">
      <c r="B316" s="456" t="s">
        <v>306</v>
      </c>
      <c r="C316" s="459">
        <v>7360.0330000000004</v>
      </c>
      <c r="D316" s="460">
        <v>3461.8910000000001</v>
      </c>
      <c r="E316" s="183">
        <f>C316/D316-1</f>
        <v>1.1260152327152992</v>
      </c>
      <c r="G316" s="449" t="s">
        <v>346</v>
      </c>
      <c r="H316" s="450">
        <v>304570</v>
      </c>
      <c r="I316" s="450">
        <v>284548.26500000001</v>
      </c>
      <c r="J316" s="451">
        <f t="shared" si="45"/>
        <v>7.0363229942730365E-2</v>
      </c>
    </row>
    <row r="317" spans="2:10" x14ac:dyDescent="0.25">
      <c r="B317" s="461" t="s">
        <v>307</v>
      </c>
      <c r="C317" s="211">
        <v>-5401.7740000000003</v>
      </c>
      <c r="D317" s="211">
        <v>-2424.087</v>
      </c>
      <c r="E317" s="183"/>
      <c r="G317" s="449" t="s">
        <v>348</v>
      </c>
      <c r="H317" s="450">
        <v>4285714</v>
      </c>
      <c r="I317" s="450">
        <v>4161363.6030000001</v>
      </c>
      <c r="J317" s="451">
        <f t="shared" si="45"/>
        <v>2.9882127317678586E-2</v>
      </c>
    </row>
    <row r="318" spans="2:10" x14ac:dyDescent="0.25">
      <c r="B318" s="456" t="s">
        <v>280</v>
      </c>
      <c r="C318" s="213">
        <v>285.834</v>
      </c>
      <c r="D318" s="213">
        <v>-238.065</v>
      </c>
      <c r="E318" s="183">
        <f>-(C318/D318-1)</f>
        <v>2.2006552832209691</v>
      </c>
      <c r="G318" s="449" t="s">
        <v>287</v>
      </c>
      <c r="H318" s="450">
        <v>431925</v>
      </c>
      <c r="I318" s="450">
        <v>344536.68800000002</v>
      </c>
      <c r="J318" s="451">
        <f t="shared" si="45"/>
        <v>0.25364007678624922</v>
      </c>
    </row>
    <row r="319" spans="2:10" ht="14.4" thickBot="1" x14ac:dyDescent="0.3">
      <c r="B319" s="461" t="s">
        <v>281</v>
      </c>
      <c r="C319" s="211">
        <v>-91.466999999999999</v>
      </c>
      <c r="D319" s="211">
        <v>0</v>
      </c>
      <c r="E319" s="183"/>
      <c r="G319" s="449" t="s">
        <v>482</v>
      </c>
      <c r="H319" s="450">
        <v>2280638</v>
      </c>
      <c r="I319" s="450">
        <v>2270337.8689999999</v>
      </c>
      <c r="J319" s="451">
        <f t="shared" si="45"/>
        <v>4.5368273773880308E-3</v>
      </c>
    </row>
    <row r="320" spans="2:10" ht="14.4" thickBot="1" x14ac:dyDescent="0.3">
      <c r="B320" s="456" t="s">
        <v>282</v>
      </c>
      <c r="C320" s="462">
        <f>SUM(C318:C319)</f>
        <v>194.36700000000002</v>
      </c>
      <c r="D320" s="462">
        <f>SUM(D318:D319)</f>
        <v>-238.065</v>
      </c>
      <c r="E320" s="187">
        <f>-(C320/D320-1)</f>
        <v>1.8164450885262429</v>
      </c>
      <c r="G320" s="449" t="s">
        <v>483</v>
      </c>
      <c r="H320" s="447">
        <v>217</v>
      </c>
      <c r="I320" s="447">
        <v>217</v>
      </c>
      <c r="J320" s="451">
        <f t="shared" si="45"/>
        <v>0</v>
      </c>
    </row>
    <row r="321" spans="2:10" ht="14.4" thickBot="1" x14ac:dyDescent="0.3">
      <c r="B321" s="463" t="s">
        <v>283</v>
      </c>
      <c r="C321" s="464"/>
      <c r="D321" s="464"/>
      <c r="E321" s="183"/>
      <c r="G321" s="449" t="s">
        <v>352</v>
      </c>
      <c r="H321" s="450">
        <v>2017410</v>
      </c>
      <c r="I321" s="450">
        <v>1707290.152</v>
      </c>
      <c r="J321" s="451">
        <f t="shared" si="45"/>
        <v>0.18164448944821188</v>
      </c>
    </row>
    <row r="322" spans="2:10" x14ac:dyDescent="0.25">
      <c r="B322" s="456" t="s">
        <v>285</v>
      </c>
      <c r="C322" s="405" t="s">
        <v>340</v>
      </c>
      <c r="D322" s="405" t="s">
        <v>284</v>
      </c>
      <c r="E322" s="183"/>
      <c r="G322" s="449" t="s">
        <v>332</v>
      </c>
      <c r="H322" s="450">
        <v>3518</v>
      </c>
      <c r="I322" s="450">
        <v>2640.6970000000001</v>
      </c>
      <c r="J322" s="451">
        <f t="shared" si="45"/>
        <v>0.33222403024655978</v>
      </c>
    </row>
    <row r="323" spans="2:10" x14ac:dyDescent="0.25">
      <c r="B323" s="456" t="s">
        <v>311</v>
      </c>
      <c r="C323" s="465"/>
      <c r="D323" s="466"/>
      <c r="E323" s="183"/>
      <c r="G323" s="449" t="s">
        <v>353</v>
      </c>
      <c r="H323" s="450">
        <v>252897</v>
      </c>
      <c r="I323" s="450">
        <v>247733.62</v>
      </c>
      <c r="J323" s="451">
        <f t="shared" si="45"/>
        <v>2.0842467808769749E-2</v>
      </c>
    </row>
    <row r="324" spans="2:10" x14ac:dyDescent="0.25">
      <c r="B324" s="461" t="s">
        <v>484</v>
      </c>
      <c r="C324" s="465">
        <v>517.75800000000004</v>
      </c>
      <c r="D324" s="465">
        <v>540.33900000000006</v>
      </c>
      <c r="E324" s="191">
        <f>C324/D324-1</f>
        <v>-4.1790431562408026E-2</v>
      </c>
      <c r="G324" s="449" t="s">
        <v>291</v>
      </c>
      <c r="H324" s="450">
        <v>69196</v>
      </c>
      <c r="I324" s="450">
        <v>70332.334000000003</v>
      </c>
      <c r="J324" s="451">
        <f t="shared" si="45"/>
        <v>-1.6156637145015029E-2</v>
      </c>
    </row>
    <row r="325" spans="2:10" x14ac:dyDescent="0.25">
      <c r="B325" s="461" t="s">
        <v>485</v>
      </c>
      <c r="C325" s="465">
        <v>231.22300000000001</v>
      </c>
      <c r="D325" s="465">
        <v>231.22300000000001</v>
      </c>
      <c r="E325" s="191">
        <f>C325/D325-1</f>
        <v>0</v>
      </c>
      <c r="G325" s="449" t="s">
        <v>486</v>
      </c>
      <c r="H325" s="450">
        <v>6076</v>
      </c>
      <c r="I325" s="450">
        <v>13781.414000000001</v>
      </c>
      <c r="J325" s="451">
        <f t="shared" si="45"/>
        <v>-0.55911635772642776</v>
      </c>
    </row>
    <row r="326" spans="2:10" x14ac:dyDescent="0.25">
      <c r="B326" s="461" t="s">
        <v>331</v>
      </c>
      <c r="C326" s="465">
        <v>7.24</v>
      </c>
      <c r="D326" s="465">
        <v>14.481</v>
      </c>
      <c r="E326" s="191">
        <f>C326/D326-1</f>
        <v>-0.50003452800220982</v>
      </c>
      <c r="G326" s="449" t="s">
        <v>487</v>
      </c>
      <c r="H326" s="450">
        <v>44387</v>
      </c>
      <c r="I326" s="450">
        <v>42736.614999999998</v>
      </c>
      <c r="J326" s="451">
        <f t="shared" si="45"/>
        <v>3.8617588220311916E-2</v>
      </c>
    </row>
    <row r="327" spans="2:10" x14ac:dyDescent="0.25">
      <c r="B327" s="461" t="s">
        <v>483</v>
      </c>
      <c r="C327" s="465">
        <v>584.33399999999995</v>
      </c>
      <c r="D327" s="465">
        <v>585.53200000000004</v>
      </c>
      <c r="E327" s="191">
        <f>C327/D327-1</f>
        <v>-2.0460026095927564E-3</v>
      </c>
      <c r="G327" s="448" t="s">
        <v>319</v>
      </c>
      <c r="H327" s="467">
        <f>SUM(H312:H326)</f>
        <v>12082444</v>
      </c>
      <c r="I327" s="467">
        <f>SUM(I312:I326)</f>
        <v>11731964.926000003</v>
      </c>
      <c r="J327" s="440">
        <f t="shared" si="45"/>
        <v>2.9873859682556292E-2</v>
      </c>
    </row>
    <row r="328" spans="2:10" x14ac:dyDescent="0.25">
      <c r="B328" s="456" t="s">
        <v>313</v>
      </c>
      <c r="C328" s="459">
        <f>SUM(C324:C327)</f>
        <v>1340.5549999999998</v>
      </c>
      <c r="D328" s="459">
        <f>SUM(D324:D327)</f>
        <v>1371.5750000000003</v>
      </c>
      <c r="E328" s="183">
        <f>C328/D328-1</f>
        <v>-2.2616335235040363E-2</v>
      </c>
      <c r="G328" s="448"/>
      <c r="H328" s="468"/>
      <c r="I328" s="468"/>
      <c r="J328" s="442"/>
    </row>
    <row r="329" spans="2:10" x14ac:dyDescent="0.25">
      <c r="B329" s="456"/>
      <c r="C329" s="459"/>
      <c r="D329" s="459"/>
      <c r="E329" s="183"/>
      <c r="G329" s="448" t="s">
        <v>294</v>
      </c>
      <c r="H329" s="468"/>
      <c r="I329" s="468"/>
      <c r="J329" s="442"/>
    </row>
    <row r="330" spans="2:10" ht="14.4" x14ac:dyDescent="0.3">
      <c r="B330" s="456" t="s">
        <v>314</v>
      </c>
      <c r="C330" s="469"/>
      <c r="D330" s="469"/>
      <c r="E330" s="470"/>
      <c r="G330" s="449" t="s">
        <v>488</v>
      </c>
      <c r="H330" s="450">
        <v>1439294</v>
      </c>
      <c r="I330" s="450">
        <v>1696520.86</v>
      </c>
      <c r="J330" s="451">
        <f t="shared" ref="J330:J339" si="46">H330/I330-1</f>
        <v>-0.15162021644697021</v>
      </c>
    </row>
    <row r="331" spans="2:10" x14ac:dyDescent="0.25">
      <c r="B331" s="461" t="s">
        <v>489</v>
      </c>
      <c r="C331" s="465">
        <v>7260.4049999999997</v>
      </c>
      <c r="D331" s="465">
        <v>6045.4</v>
      </c>
      <c r="E331" s="191">
        <f t="shared" ref="E331:E337" si="47">C331/D331-1</f>
        <v>0.20098008403083334</v>
      </c>
      <c r="G331" s="449" t="s">
        <v>360</v>
      </c>
      <c r="H331" s="450">
        <v>7494464</v>
      </c>
      <c r="I331" s="450">
        <v>6954827.3559999997</v>
      </c>
      <c r="J331" s="451">
        <f t="shared" si="46"/>
        <v>7.7591666389022595E-2</v>
      </c>
    </row>
    <row r="332" spans="2:10" x14ac:dyDescent="0.25">
      <c r="B332" s="461" t="s">
        <v>449</v>
      </c>
      <c r="C332" s="465">
        <v>5760.2830000000004</v>
      </c>
      <c r="D332" s="465">
        <v>5170.8860000000004</v>
      </c>
      <c r="E332" s="191">
        <f t="shared" si="47"/>
        <v>0.11398375442815789</v>
      </c>
      <c r="G332" s="449" t="s">
        <v>458</v>
      </c>
      <c r="H332" s="450">
        <v>13424</v>
      </c>
      <c r="I332" s="450">
        <v>13952.61</v>
      </c>
      <c r="J332" s="451">
        <f t="shared" si="46"/>
        <v>-3.7886101596762201E-2</v>
      </c>
    </row>
    <row r="333" spans="2:10" x14ac:dyDescent="0.25">
      <c r="B333" s="461" t="s">
        <v>352</v>
      </c>
      <c r="C333" s="465">
        <v>126.065</v>
      </c>
      <c r="D333" s="465">
        <v>202.846</v>
      </c>
      <c r="E333" s="191">
        <f t="shared" si="47"/>
        <v>-0.37851867919505444</v>
      </c>
      <c r="G333" s="449" t="s">
        <v>324</v>
      </c>
      <c r="H333" s="450">
        <v>9075</v>
      </c>
      <c r="I333" s="450">
        <v>4642.9179999999997</v>
      </c>
      <c r="J333" s="451">
        <f t="shared" si="46"/>
        <v>0.95458976445416455</v>
      </c>
    </row>
    <row r="334" spans="2:10" x14ac:dyDescent="0.25">
      <c r="B334" s="461" t="s">
        <v>341</v>
      </c>
      <c r="C334" s="465">
        <v>11289.241</v>
      </c>
      <c r="D334" s="465">
        <v>12746.57</v>
      </c>
      <c r="E334" s="191">
        <f t="shared" si="47"/>
        <v>-0.11433107102538176</v>
      </c>
      <c r="G334" s="449" t="s">
        <v>299</v>
      </c>
      <c r="H334" s="450">
        <v>555632</v>
      </c>
      <c r="I334" s="450">
        <v>560708.96</v>
      </c>
      <c r="J334" s="451">
        <f t="shared" si="46"/>
        <v>-9.0545369562133882E-3</v>
      </c>
    </row>
    <row r="335" spans="2:10" x14ac:dyDescent="0.25">
      <c r="B335" s="456" t="s">
        <v>314</v>
      </c>
      <c r="C335" s="459">
        <f>SUM(C331:C334)</f>
        <v>24435.993999999999</v>
      </c>
      <c r="D335" s="459">
        <f>SUM(D331:D334)</f>
        <v>24165.701999999997</v>
      </c>
      <c r="E335" s="183">
        <f t="shared" si="47"/>
        <v>1.1184943023794691E-2</v>
      </c>
      <c r="G335" s="449" t="s">
        <v>321</v>
      </c>
      <c r="H335" s="450">
        <v>6228</v>
      </c>
      <c r="I335" s="450">
        <v>11652.253000000001</v>
      </c>
      <c r="J335" s="451">
        <f t="shared" si="46"/>
        <v>-0.46551109043032279</v>
      </c>
    </row>
    <row r="336" spans="2:10" x14ac:dyDescent="0.25">
      <c r="B336" s="461" t="s">
        <v>487</v>
      </c>
      <c r="C336" s="465">
        <v>715.45500000000004</v>
      </c>
      <c r="D336" s="465">
        <v>715.45500000000004</v>
      </c>
      <c r="E336" s="183">
        <f t="shared" si="47"/>
        <v>0</v>
      </c>
      <c r="G336" s="449" t="s">
        <v>363</v>
      </c>
      <c r="H336" s="450">
        <v>256197</v>
      </c>
      <c r="I336" s="450">
        <v>264494.83100000001</v>
      </c>
      <c r="J336" s="451">
        <f t="shared" si="46"/>
        <v>-3.1372374910419332E-2</v>
      </c>
    </row>
    <row r="337" spans="2:10" x14ac:dyDescent="0.25">
      <c r="B337" s="456" t="s">
        <v>319</v>
      </c>
      <c r="C337" s="459">
        <f>SUM(C328,C335:C336)</f>
        <v>26492.004000000001</v>
      </c>
      <c r="D337" s="459">
        <f>SUM(D328,D335:D336)</f>
        <v>26252.732</v>
      </c>
      <c r="E337" s="183">
        <f t="shared" si="47"/>
        <v>9.1141752408854249E-3</v>
      </c>
      <c r="G337" s="449" t="s">
        <v>490</v>
      </c>
      <c r="H337" s="450">
        <v>1207563</v>
      </c>
      <c r="I337" s="450">
        <v>1171259.804</v>
      </c>
      <c r="J337" s="451">
        <f t="shared" si="46"/>
        <v>3.0994998612622116E-2</v>
      </c>
    </row>
    <row r="338" spans="2:10" x14ac:dyDescent="0.25">
      <c r="B338" s="456"/>
      <c r="C338" s="459"/>
      <c r="D338" s="459"/>
      <c r="E338" s="183"/>
      <c r="G338" s="449" t="s">
        <v>432</v>
      </c>
      <c r="H338" s="450">
        <v>4252</v>
      </c>
      <c r="I338" s="450">
        <v>3876.6109999999999</v>
      </c>
      <c r="J338" s="451">
        <f t="shared" si="46"/>
        <v>9.6834322556480501E-2</v>
      </c>
    </row>
    <row r="339" spans="2:10" x14ac:dyDescent="0.25">
      <c r="B339" s="456" t="s">
        <v>294</v>
      </c>
      <c r="C339" s="459"/>
      <c r="D339" s="459"/>
      <c r="E339" s="183"/>
      <c r="G339" s="448" t="s">
        <v>300</v>
      </c>
      <c r="H339" s="467">
        <f>SUM(H330:H338)</f>
        <v>10986129</v>
      </c>
      <c r="I339" s="467">
        <f>SUM(I330:I338)</f>
        <v>10681936.203</v>
      </c>
      <c r="J339" s="440">
        <f t="shared" si="46"/>
        <v>2.8477308909087951E-2</v>
      </c>
    </row>
    <row r="340" spans="2:10" x14ac:dyDescent="0.25">
      <c r="B340" s="456" t="s">
        <v>320</v>
      </c>
      <c r="C340" s="459"/>
      <c r="D340" s="459"/>
      <c r="E340" s="183"/>
      <c r="G340" s="448"/>
      <c r="H340" s="468"/>
      <c r="I340" s="468"/>
      <c r="J340" s="442"/>
    </row>
    <row r="341" spans="2:10" x14ac:dyDescent="0.25">
      <c r="B341" s="461" t="s">
        <v>491</v>
      </c>
      <c r="C341" s="465">
        <v>26.279</v>
      </c>
      <c r="D341" s="465">
        <v>26.279</v>
      </c>
      <c r="E341" s="191">
        <f>C341/D341-1</f>
        <v>0</v>
      </c>
      <c r="G341" s="448" t="s">
        <v>301</v>
      </c>
      <c r="H341" s="468"/>
      <c r="I341" s="468"/>
      <c r="J341" s="442"/>
    </row>
    <row r="342" spans="2:10" x14ac:dyDescent="0.25">
      <c r="B342" s="456" t="s">
        <v>322</v>
      </c>
      <c r="C342" s="459">
        <f>SUM(C341)</f>
        <v>26.279</v>
      </c>
      <c r="D342" s="459">
        <f>SUM(D341)</f>
        <v>26.279</v>
      </c>
      <c r="E342" s="183">
        <f>C342/D342-1</f>
        <v>0</v>
      </c>
      <c r="G342" s="449" t="s">
        <v>302</v>
      </c>
      <c r="H342" s="450">
        <v>251811</v>
      </c>
      <c r="I342" s="450">
        <v>251811.46299999999</v>
      </c>
      <c r="J342" s="451">
        <f t="shared" ref="J342:J346" si="48">H342/I342-1</f>
        <v>-1.8386772169254328E-6</v>
      </c>
    </row>
    <row r="343" spans="2:10" x14ac:dyDescent="0.25">
      <c r="B343" s="456"/>
      <c r="C343" s="459"/>
      <c r="D343" s="459"/>
      <c r="E343" s="183"/>
      <c r="G343" s="449" t="s">
        <v>492</v>
      </c>
      <c r="H343" s="450">
        <v>206355</v>
      </c>
      <c r="I343" s="450">
        <v>206355</v>
      </c>
      <c r="J343" s="451">
        <f t="shared" si="48"/>
        <v>0</v>
      </c>
    </row>
    <row r="344" spans="2:10" ht="14.4" x14ac:dyDescent="0.3">
      <c r="B344" s="456" t="s">
        <v>323</v>
      </c>
      <c r="C344" s="469"/>
      <c r="D344" s="469"/>
      <c r="E344" s="470"/>
      <c r="G344" s="449" t="s">
        <v>327</v>
      </c>
      <c r="H344" s="450">
        <v>451425</v>
      </c>
      <c r="I344" s="450">
        <v>397272.82900000003</v>
      </c>
      <c r="J344" s="451">
        <f t="shared" si="48"/>
        <v>0.13630977768177543</v>
      </c>
    </row>
    <row r="345" spans="2:10" x14ac:dyDescent="0.25">
      <c r="B345" s="461" t="s">
        <v>493</v>
      </c>
      <c r="C345" s="465">
        <v>16637.027999999998</v>
      </c>
      <c r="D345" s="465">
        <v>16731.848999999998</v>
      </c>
      <c r="E345" s="191">
        <f t="shared" ref="E345:E350" si="49">C345/D345-1</f>
        <v>-5.6670963262935858E-3</v>
      </c>
      <c r="G345" s="449" t="s">
        <v>494</v>
      </c>
      <c r="H345" s="450">
        <v>165923</v>
      </c>
      <c r="I345" s="450">
        <v>171112.57500000001</v>
      </c>
      <c r="J345" s="451">
        <f t="shared" si="48"/>
        <v>-3.0328425599346009E-2</v>
      </c>
    </row>
    <row r="346" spans="2:10" ht="14.4" thickBot="1" x14ac:dyDescent="0.3">
      <c r="B346" s="461" t="s">
        <v>420</v>
      </c>
      <c r="C346" s="465">
        <v>0</v>
      </c>
      <c r="D346" s="465">
        <v>1.5</v>
      </c>
      <c r="E346" s="191">
        <f t="shared" si="49"/>
        <v>-1</v>
      </c>
      <c r="G346" s="449" t="s">
        <v>304</v>
      </c>
      <c r="H346" s="450">
        <v>20804</v>
      </c>
      <c r="I346" s="450">
        <v>23476.856</v>
      </c>
      <c r="J346" s="451">
        <f t="shared" si="48"/>
        <v>-0.11385067915397185</v>
      </c>
    </row>
    <row r="347" spans="2:10" ht="14.4" thickBot="1" x14ac:dyDescent="0.3">
      <c r="B347" s="461" t="s">
        <v>495</v>
      </c>
      <c r="C347" s="465">
        <v>140.601</v>
      </c>
      <c r="D347" s="465">
        <v>90.840999999999994</v>
      </c>
      <c r="E347" s="191">
        <f t="shared" si="49"/>
        <v>0.54777027993967486</v>
      </c>
      <c r="G347" s="471" t="s">
        <v>305</v>
      </c>
      <c r="H347" s="472">
        <f>SUM(H342:H346)</f>
        <v>1096318</v>
      </c>
      <c r="I347" s="472">
        <f>SUM(I342:I346)</f>
        <v>1050028.723</v>
      </c>
      <c r="J347" s="446">
        <f>H347/I347-1</f>
        <v>4.4083819790899259E-2</v>
      </c>
    </row>
    <row r="348" spans="2:10" ht="14.4" thickBot="1" x14ac:dyDescent="0.3">
      <c r="B348" s="461" t="s">
        <v>399</v>
      </c>
      <c r="C348" s="465">
        <v>194.28</v>
      </c>
      <c r="D348" s="465">
        <v>102.813</v>
      </c>
      <c r="E348" s="191">
        <f t="shared" si="49"/>
        <v>0.88964430568118824</v>
      </c>
      <c r="J348" s="24"/>
    </row>
    <row r="349" spans="2:10" x14ac:dyDescent="0.25">
      <c r="B349" s="456" t="s">
        <v>336</v>
      </c>
      <c r="C349" s="459">
        <f>SUM(C345:C348)</f>
        <v>16971.908999999996</v>
      </c>
      <c r="D349" s="459">
        <f>SUM(D345:D348)</f>
        <v>16927.002999999997</v>
      </c>
      <c r="E349" s="183">
        <f t="shared" si="49"/>
        <v>2.6529208980465846E-3</v>
      </c>
      <c r="G349" s="748" t="s">
        <v>496</v>
      </c>
      <c r="H349" s="748"/>
      <c r="I349" s="748"/>
      <c r="J349" s="749"/>
    </row>
    <row r="350" spans="2:10" ht="14.4" thickBot="1" x14ac:dyDescent="0.3">
      <c r="B350" s="456" t="s">
        <v>300</v>
      </c>
      <c r="C350" s="459">
        <f>SUM(C349,C342)</f>
        <v>16998.187999999995</v>
      </c>
      <c r="D350" s="459">
        <f>SUM(D349,D342)</f>
        <v>16953.281999999996</v>
      </c>
      <c r="E350" s="183">
        <f t="shared" si="49"/>
        <v>2.6488086495581875E-3</v>
      </c>
      <c r="G350" s="750" t="s">
        <v>277</v>
      </c>
      <c r="H350" s="750"/>
      <c r="I350" s="750"/>
      <c r="J350" s="751"/>
    </row>
    <row r="351" spans="2:10" x14ac:dyDescent="0.25">
      <c r="B351" s="456"/>
      <c r="C351" s="465"/>
      <c r="D351" s="465"/>
      <c r="E351" s="183"/>
      <c r="G351" s="262"/>
      <c r="H351" s="473">
        <v>2022</v>
      </c>
      <c r="I351" s="473">
        <v>2021</v>
      </c>
      <c r="J351" s="263"/>
    </row>
    <row r="352" spans="2:10" ht="14.4" thickBot="1" x14ac:dyDescent="0.3">
      <c r="B352" s="456" t="s">
        <v>301</v>
      </c>
      <c r="C352" s="465"/>
      <c r="D352" s="465"/>
      <c r="E352" s="183"/>
      <c r="G352" s="474"/>
      <c r="H352" s="475" t="s">
        <v>278</v>
      </c>
      <c r="I352" s="475" t="s">
        <v>278</v>
      </c>
      <c r="J352" s="476"/>
    </row>
    <row r="353" spans="2:10" x14ac:dyDescent="0.25">
      <c r="B353" s="461" t="s">
        <v>497</v>
      </c>
      <c r="C353" s="465">
        <v>597.93899999999996</v>
      </c>
      <c r="D353" s="465">
        <v>597.93899999999996</v>
      </c>
      <c r="E353" s="191">
        <f>C353/D353-1</f>
        <v>0</v>
      </c>
      <c r="G353" s="477"/>
      <c r="H353" s="478"/>
      <c r="I353" s="479"/>
      <c r="J353" s="480"/>
    </row>
    <row r="354" spans="2:10" x14ac:dyDescent="0.25">
      <c r="B354" s="461" t="s">
        <v>303</v>
      </c>
      <c r="C354" s="465">
        <v>51.395000000000003</v>
      </c>
      <c r="D354" s="465">
        <v>51.395000000000003</v>
      </c>
      <c r="E354" s="191">
        <f>C354/D354-1</f>
        <v>0</v>
      </c>
      <c r="G354" s="477" t="s">
        <v>498</v>
      </c>
      <c r="H354" s="181">
        <v>23384.896000000001</v>
      </c>
      <c r="I354" s="181">
        <v>19314.826000000001</v>
      </c>
      <c r="J354" s="480">
        <f>H354/I354-1</f>
        <v>0.21072258171002933</v>
      </c>
    </row>
    <row r="355" spans="2:10" ht="14.4" thickBot="1" x14ac:dyDescent="0.3">
      <c r="B355" s="461" t="s">
        <v>327</v>
      </c>
      <c r="C355" s="465">
        <v>8844.4809999999998</v>
      </c>
      <c r="D355" s="465">
        <v>8650.116</v>
      </c>
      <c r="E355" s="191">
        <f>C355/D355-1</f>
        <v>2.246964086955594E-2</v>
      </c>
      <c r="G355" s="477" t="s">
        <v>280</v>
      </c>
      <c r="H355" s="481">
        <v>2792.6379999999999</v>
      </c>
      <c r="I355" s="181">
        <v>1755.702</v>
      </c>
      <c r="J355" s="480">
        <f>H355/I355-1</f>
        <v>0.59061047945494161</v>
      </c>
    </row>
    <row r="356" spans="2:10" ht="14.4" thickBot="1" x14ac:dyDescent="0.3">
      <c r="B356" s="482" t="s">
        <v>305</v>
      </c>
      <c r="C356" s="483">
        <f>SUM(C353:C355)</f>
        <v>9493.8150000000005</v>
      </c>
      <c r="D356" s="483">
        <f>SUM(D353:D355)</f>
        <v>9299.4500000000007</v>
      </c>
      <c r="E356" s="187">
        <f>C356/D356-1</f>
        <v>2.0900698428401698E-2</v>
      </c>
      <c r="G356" s="484" t="s">
        <v>281</v>
      </c>
      <c r="H356" s="485">
        <v>-597.50599999999997</v>
      </c>
      <c r="I356" s="185">
        <v>-436.97</v>
      </c>
      <c r="J356" s="480"/>
    </row>
    <row r="357" spans="2:10" ht="14.4" thickBot="1" x14ac:dyDescent="0.3">
      <c r="E357" s="24"/>
      <c r="G357" s="477" t="s">
        <v>427</v>
      </c>
      <c r="H357" s="193">
        <v>2195.1320000000001</v>
      </c>
      <c r="I357" s="193">
        <v>1318.732</v>
      </c>
      <c r="J357" s="486">
        <f>H357/I357-1</f>
        <v>0.66457779139355089</v>
      </c>
    </row>
    <row r="358" spans="2:10" ht="14.4" thickBot="1" x14ac:dyDescent="0.3">
      <c r="B358" s="733" t="s">
        <v>499</v>
      </c>
      <c r="C358" s="734"/>
      <c r="D358" s="734"/>
      <c r="E358" s="735"/>
      <c r="G358" s="487" t="s">
        <v>283</v>
      </c>
      <c r="H358" s="488"/>
      <c r="I358" s="488"/>
      <c r="J358" s="480"/>
    </row>
    <row r="359" spans="2:10" ht="14.4" thickBot="1" x14ac:dyDescent="0.3">
      <c r="B359" s="709" t="s">
        <v>277</v>
      </c>
      <c r="C359" s="710"/>
      <c r="D359" s="710"/>
      <c r="E359" s="736"/>
      <c r="G359" s="489"/>
      <c r="H359" s="405" t="s">
        <v>340</v>
      </c>
      <c r="I359" s="405" t="s">
        <v>284</v>
      </c>
      <c r="J359" s="480"/>
    </row>
    <row r="360" spans="2:10" x14ac:dyDescent="0.25">
      <c r="B360" s="490"/>
      <c r="C360" s="431">
        <v>2022</v>
      </c>
      <c r="D360" s="431">
        <v>2021</v>
      </c>
      <c r="E360" s="432"/>
      <c r="G360" s="477" t="s">
        <v>285</v>
      </c>
      <c r="H360" s="491"/>
      <c r="I360" s="492"/>
      <c r="J360" s="480"/>
    </row>
    <row r="361" spans="2:10" ht="14.4" thickBot="1" x14ac:dyDescent="0.3">
      <c r="B361" s="493"/>
      <c r="C361" s="434" t="s">
        <v>278</v>
      </c>
      <c r="D361" s="434" t="s">
        <v>278</v>
      </c>
      <c r="E361" s="494"/>
      <c r="G361" s="484" t="s">
        <v>317</v>
      </c>
      <c r="H361" s="491">
        <v>39373.173000000003</v>
      </c>
      <c r="I361" s="491">
        <v>17176.184000000001</v>
      </c>
      <c r="J361" s="495">
        <f t="shared" ref="J361:J376" si="50">H361/I361-1</f>
        <v>1.2923120176169514</v>
      </c>
    </row>
    <row r="362" spans="2:10" x14ac:dyDescent="0.25">
      <c r="B362" s="438"/>
      <c r="C362" s="437"/>
      <c r="D362" s="437"/>
      <c r="E362" s="442"/>
      <c r="G362" s="484" t="s">
        <v>500</v>
      </c>
      <c r="H362" s="491">
        <v>455.21199999999999</v>
      </c>
      <c r="I362" s="491">
        <v>174.75899999999999</v>
      </c>
      <c r="J362" s="495">
        <f t="shared" si="50"/>
        <v>1.60479860836924</v>
      </c>
    </row>
    <row r="363" spans="2:10" x14ac:dyDescent="0.25">
      <c r="B363" s="438" t="s">
        <v>501</v>
      </c>
      <c r="C363" s="496">
        <v>20224.307000000001</v>
      </c>
      <c r="D363" s="496">
        <v>17349.919999999998</v>
      </c>
      <c r="E363" s="440">
        <f>C363/D363-1</f>
        <v>0.1656714843641931</v>
      </c>
      <c r="G363" s="484" t="s">
        <v>502</v>
      </c>
      <c r="H363" s="491">
        <v>114771.734</v>
      </c>
      <c r="I363" s="491">
        <v>113959.758</v>
      </c>
      <c r="J363" s="495">
        <f t="shared" si="50"/>
        <v>7.1251116556425576E-3</v>
      </c>
    </row>
    <row r="364" spans="2:10" x14ac:dyDescent="0.25">
      <c r="B364" s="438" t="s">
        <v>308</v>
      </c>
      <c r="C364" s="496">
        <v>1356.1969999999976</v>
      </c>
      <c r="D364" s="496">
        <v>1579.1689999999981</v>
      </c>
      <c r="E364" s="440">
        <f>C364/D364-1</f>
        <v>-0.1411957808188995</v>
      </c>
      <c r="G364" s="484" t="s">
        <v>503</v>
      </c>
      <c r="H364" s="491">
        <v>12322.243</v>
      </c>
      <c r="I364" s="491">
        <v>8252.1610000000001</v>
      </c>
      <c r="J364" s="495">
        <f t="shared" si="50"/>
        <v>0.49321408052993632</v>
      </c>
    </row>
    <row r="365" spans="2:10" ht="14.4" thickBot="1" x14ac:dyDescent="0.3">
      <c r="B365" s="436" t="s">
        <v>281</v>
      </c>
      <c r="C365" s="497">
        <v>-11.109</v>
      </c>
      <c r="D365" s="497">
        <v>-72.825999999999993</v>
      </c>
      <c r="E365" s="442"/>
      <c r="G365" s="484" t="s">
        <v>315</v>
      </c>
      <c r="H365" s="491">
        <v>5660.1980000000003</v>
      </c>
      <c r="I365" s="491">
        <v>6084.5079999999998</v>
      </c>
      <c r="J365" s="495">
        <f t="shared" si="50"/>
        <v>-6.9736123282276852E-2</v>
      </c>
    </row>
    <row r="366" spans="2:10" ht="14.4" thickBot="1" x14ac:dyDescent="0.3">
      <c r="B366" s="444" t="s">
        <v>309</v>
      </c>
      <c r="C366" s="498">
        <v>1345.0879999999977</v>
      </c>
      <c r="D366" s="498">
        <v>1506.342999999998</v>
      </c>
      <c r="E366" s="446">
        <f>C366/D366-1</f>
        <v>-0.10705065181037821</v>
      </c>
      <c r="G366" s="484" t="s">
        <v>504</v>
      </c>
      <c r="H366" s="491">
        <v>1475.2660000000001</v>
      </c>
      <c r="I366" s="491">
        <v>784.69299999999998</v>
      </c>
      <c r="J366" s="495">
        <f t="shared" si="50"/>
        <v>0.88005500240221357</v>
      </c>
    </row>
    <row r="367" spans="2:10" ht="14.4" thickBot="1" x14ac:dyDescent="0.3">
      <c r="B367" s="444" t="s">
        <v>283</v>
      </c>
      <c r="C367" s="468"/>
      <c r="D367" s="442"/>
      <c r="E367" s="442"/>
      <c r="G367" s="484" t="s">
        <v>505</v>
      </c>
      <c r="H367" s="491">
        <v>5747.0789999999997</v>
      </c>
      <c r="I367" s="491">
        <v>6022.5730000000003</v>
      </c>
      <c r="J367" s="495">
        <f t="shared" si="50"/>
        <v>-4.5743571725905263E-2</v>
      </c>
    </row>
    <row r="368" spans="2:10" x14ac:dyDescent="0.25">
      <c r="B368" s="448" t="s">
        <v>285</v>
      </c>
      <c r="C368" s="405" t="s">
        <v>340</v>
      </c>
      <c r="D368" s="405" t="s">
        <v>284</v>
      </c>
      <c r="E368" s="442"/>
      <c r="G368" s="484" t="s">
        <v>441</v>
      </c>
      <c r="H368" s="491">
        <v>59.031999999999996</v>
      </c>
      <c r="I368" s="491">
        <v>69.861999999999995</v>
      </c>
      <c r="J368" s="495">
        <f t="shared" si="50"/>
        <v>-0.15501989636712377</v>
      </c>
    </row>
    <row r="369" spans="2:10" x14ac:dyDescent="0.25">
      <c r="B369" s="448" t="s">
        <v>311</v>
      </c>
      <c r="C369" s="468"/>
      <c r="D369" s="442"/>
      <c r="E369" s="442"/>
      <c r="G369" s="484" t="s">
        <v>506</v>
      </c>
      <c r="H369" s="491">
        <v>130.393</v>
      </c>
      <c r="I369" s="491">
        <v>130.393</v>
      </c>
      <c r="J369" s="495">
        <f t="shared" si="50"/>
        <v>0</v>
      </c>
    </row>
    <row r="370" spans="2:10" x14ac:dyDescent="0.25">
      <c r="B370" s="449" t="s">
        <v>428</v>
      </c>
      <c r="C370" s="499">
        <v>42645.338000000003</v>
      </c>
      <c r="D370" s="499">
        <v>25490.105</v>
      </c>
      <c r="E370" s="451">
        <f t="shared" ref="E370:E383" si="51">C370/D370-1</f>
        <v>0.67301539165884194</v>
      </c>
      <c r="G370" s="484" t="s">
        <v>507</v>
      </c>
      <c r="H370" s="491">
        <v>4289.3069999999998</v>
      </c>
      <c r="I370" s="491">
        <v>4801.6750000000002</v>
      </c>
      <c r="J370" s="495">
        <f t="shared" si="50"/>
        <v>-0.1067060973514451</v>
      </c>
    </row>
    <row r="371" spans="2:10" x14ac:dyDescent="0.25">
      <c r="B371" s="449" t="s">
        <v>508</v>
      </c>
      <c r="C371" s="499">
        <v>172356.522</v>
      </c>
      <c r="D371" s="499">
        <v>172501.02</v>
      </c>
      <c r="E371" s="451">
        <f t="shared" si="51"/>
        <v>-8.3766461207002152E-4</v>
      </c>
      <c r="G371" s="484" t="s">
        <v>483</v>
      </c>
      <c r="H371" s="491">
        <v>11763.011</v>
      </c>
      <c r="I371" s="491">
        <v>11760.655000000001</v>
      </c>
      <c r="J371" s="495">
        <f t="shared" si="50"/>
        <v>2.0032897827548801E-4</v>
      </c>
    </row>
    <row r="372" spans="2:10" x14ac:dyDescent="0.25">
      <c r="B372" s="449" t="s">
        <v>509</v>
      </c>
      <c r="C372" s="499">
        <v>788.58</v>
      </c>
      <c r="D372" s="499">
        <v>728.51800000000003</v>
      </c>
      <c r="E372" s="451">
        <f t="shared" si="51"/>
        <v>8.2444085115261467E-2</v>
      </c>
      <c r="G372" s="484" t="s">
        <v>510</v>
      </c>
      <c r="H372" s="491">
        <v>8087.8069999999998</v>
      </c>
      <c r="I372" s="491">
        <v>8086.683</v>
      </c>
      <c r="J372" s="495">
        <f t="shared" si="50"/>
        <v>1.3899394844574253E-4</v>
      </c>
    </row>
    <row r="373" spans="2:10" x14ac:dyDescent="0.25">
      <c r="B373" s="449" t="s">
        <v>511</v>
      </c>
      <c r="C373" s="499">
        <v>12497.343999999999</v>
      </c>
      <c r="D373" s="499">
        <v>10387.924000000001</v>
      </c>
      <c r="E373" s="451">
        <f t="shared" si="51"/>
        <v>0.2030646354363006</v>
      </c>
      <c r="G373" s="484" t="s">
        <v>312</v>
      </c>
      <c r="H373" s="491">
        <v>4756.3559999999998</v>
      </c>
      <c r="I373" s="491">
        <v>4696.0050000000001</v>
      </c>
      <c r="J373" s="495">
        <f t="shared" si="50"/>
        <v>1.2851562125679061E-2</v>
      </c>
    </row>
    <row r="374" spans="2:10" x14ac:dyDescent="0.25">
      <c r="B374" s="449" t="s">
        <v>512</v>
      </c>
      <c r="C374" s="499">
        <v>1260.4659999999999</v>
      </c>
      <c r="D374" s="499">
        <v>739.22299999999996</v>
      </c>
      <c r="E374" s="451">
        <f t="shared" si="51"/>
        <v>0.70512281138438593</v>
      </c>
      <c r="G374" s="484" t="s">
        <v>291</v>
      </c>
      <c r="H374" s="491">
        <v>148.63499999999999</v>
      </c>
      <c r="I374" s="491">
        <v>172.18600000000001</v>
      </c>
      <c r="J374" s="495">
        <f t="shared" si="50"/>
        <v>-0.13677650912385453</v>
      </c>
    </row>
    <row r="375" spans="2:10" x14ac:dyDescent="0.25">
      <c r="B375" s="449" t="s">
        <v>513</v>
      </c>
      <c r="C375" s="499">
        <v>5475.2430000000004</v>
      </c>
      <c r="D375" s="499">
        <v>2411.79</v>
      </c>
      <c r="E375" s="451">
        <f t="shared" si="51"/>
        <v>1.2701988979139975</v>
      </c>
      <c r="G375" s="484" t="s">
        <v>514</v>
      </c>
      <c r="H375" s="491">
        <v>2260.154</v>
      </c>
      <c r="I375" s="491">
        <v>2299.1439999999998</v>
      </c>
      <c r="J375" s="495">
        <f t="shared" si="50"/>
        <v>-1.6958485418921088E-2</v>
      </c>
    </row>
    <row r="376" spans="2:10" x14ac:dyDescent="0.25">
      <c r="B376" s="449" t="s">
        <v>331</v>
      </c>
      <c r="C376" s="499">
        <v>105.855</v>
      </c>
      <c r="D376" s="499">
        <v>105.855</v>
      </c>
      <c r="E376" s="451">
        <f t="shared" si="51"/>
        <v>0</v>
      </c>
      <c r="G376" s="477" t="s">
        <v>319</v>
      </c>
      <c r="H376" s="500">
        <f>SUM(H361:H375)</f>
        <v>211299.60000000003</v>
      </c>
      <c r="I376" s="500">
        <f>SUM(I361:I375)</f>
        <v>184471.23899999997</v>
      </c>
      <c r="J376" s="480">
        <f t="shared" si="50"/>
        <v>0.14543384185759201</v>
      </c>
    </row>
    <row r="377" spans="2:10" x14ac:dyDescent="0.25">
      <c r="B377" s="449" t="s">
        <v>515</v>
      </c>
      <c r="C377" s="499">
        <v>1.252</v>
      </c>
      <c r="D377" s="499">
        <v>1.252</v>
      </c>
      <c r="E377" s="451">
        <f t="shared" si="51"/>
        <v>0</v>
      </c>
      <c r="G377" s="477"/>
      <c r="H377" s="500"/>
      <c r="I377" s="500"/>
      <c r="J377" s="480"/>
    </row>
    <row r="378" spans="2:10" x14ac:dyDescent="0.25">
      <c r="B378" s="449" t="s">
        <v>516</v>
      </c>
      <c r="C378" s="499">
        <v>0</v>
      </c>
      <c r="D378" s="499">
        <v>705.62900000000002</v>
      </c>
      <c r="E378" s="451">
        <f t="shared" si="51"/>
        <v>-1</v>
      </c>
      <c r="G378" s="477" t="s">
        <v>294</v>
      </c>
      <c r="H378" s="500"/>
      <c r="I378" s="500"/>
      <c r="J378" s="480"/>
    </row>
    <row r="379" spans="2:10" x14ac:dyDescent="0.25">
      <c r="B379" s="449" t="s">
        <v>517</v>
      </c>
      <c r="C379" s="499">
        <v>806</v>
      </c>
      <c r="D379" s="499">
        <v>806</v>
      </c>
      <c r="E379" s="451">
        <f t="shared" si="51"/>
        <v>0</v>
      </c>
      <c r="G379" s="484" t="s">
        <v>518</v>
      </c>
      <c r="H379" s="491">
        <v>97374.554999999993</v>
      </c>
      <c r="I379" s="491">
        <v>85036.841</v>
      </c>
      <c r="J379" s="495">
        <f t="shared" ref="J379:J387" si="52">H379/I379-1</f>
        <v>0.14508669248426087</v>
      </c>
    </row>
    <row r="380" spans="2:10" x14ac:dyDescent="0.25">
      <c r="B380" s="449" t="s">
        <v>519</v>
      </c>
      <c r="C380" s="499">
        <v>949.18399999999997</v>
      </c>
      <c r="D380" s="499">
        <v>934.74800000000005</v>
      </c>
      <c r="E380" s="451">
        <f t="shared" si="51"/>
        <v>1.5443734568033163E-2</v>
      </c>
      <c r="G380" s="484" t="s">
        <v>520</v>
      </c>
      <c r="H380" s="491">
        <v>8933.8369999999995</v>
      </c>
      <c r="I380" s="491">
        <v>8616.1949999999997</v>
      </c>
      <c r="J380" s="495">
        <f t="shared" si="52"/>
        <v>3.6865693035034619E-2</v>
      </c>
    </row>
    <row r="381" spans="2:10" x14ac:dyDescent="0.25">
      <c r="B381" s="449" t="s">
        <v>333</v>
      </c>
      <c r="C381" s="499">
        <v>7136.924</v>
      </c>
      <c r="D381" s="499">
        <v>7068.7870000000003</v>
      </c>
      <c r="E381" s="451">
        <f t="shared" si="51"/>
        <v>9.6391361063785652E-3</v>
      </c>
      <c r="G381" s="484" t="s">
        <v>390</v>
      </c>
      <c r="H381" s="491">
        <v>2516.509</v>
      </c>
      <c r="I381" s="491">
        <v>2516.6210000000001</v>
      </c>
      <c r="J381" s="495">
        <f t="shared" si="52"/>
        <v>-4.450411881651295E-5</v>
      </c>
    </row>
    <row r="382" spans="2:10" x14ac:dyDescent="0.25">
      <c r="B382" s="449" t="s">
        <v>521</v>
      </c>
      <c r="C382" s="499">
        <v>500</v>
      </c>
      <c r="D382" s="499">
        <v>500</v>
      </c>
      <c r="E382" s="451">
        <f t="shared" si="51"/>
        <v>0</v>
      </c>
      <c r="G382" s="484" t="s">
        <v>522</v>
      </c>
      <c r="H382" s="491">
        <v>21245.31</v>
      </c>
      <c r="I382" s="491">
        <v>8618.9519999999993</v>
      </c>
      <c r="J382" s="495">
        <f t="shared" si="52"/>
        <v>1.4649528156091369</v>
      </c>
    </row>
    <row r="383" spans="2:10" x14ac:dyDescent="0.25">
      <c r="B383" s="448" t="s">
        <v>452</v>
      </c>
      <c r="C383" s="501">
        <f>SUM(C370:C382)</f>
        <v>244522.70799999998</v>
      </c>
      <c r="D383" s="501">
        <f>SUM(D370:D382)</f>
        <v>222380.85100000002</v>
      </c>
      <c r="E383" s="440">
        <f t="shared" si="51"/>
        <v>9.9567282436561655E-2</v>
      </c>
      <c r="G383" s="484" t="s">
        <v>523</v>
      </c>
      <c r="H383" s="491">
        <v>1204.06</v>
      </c>
      <c r="I383" s="491">
        <v>1187.895</v>
      </c>
      <c r="J383" s="495">
        <f t="shared" si="52"/>
        <v>1.3608105093463552E-2</v>
      </c>
    </row>
    <row r="384" spans="2:10" x14ac:dyDescent="0.25">
      <c r="B384" s="448"/>
      <c r="C384" s="501"/>
      <c r="D384" s="501"/>
      <c r="E384" s="442"/>
      <c r="G384" s="484" t="s">
        <v>524</v>
      </c>
      <c r="H384" s="491">
        <v>9126.7009999999991</v>
      </c>
      <c r="I384" s="491">
        <v>10159.371999999999</v>
      </c>
      <c r="J384" s="495">
        <f t="shared" si="52"/>
        <v>-0.10164712936980758</v>
      </c>
    </row>
    <row r="385" spans="2:10" x14ac:dyDescent="0.25">
      <c r="B385" s="448" t="s">
        <v>294</v>
      </c>
      <c r="C385" s="501"/>
      <c r="D385" s="501"/>
      <c r="E385" s="442"/>
      <c r="G385" s="484" t="s">
        <v>525</v>
      </c>
      <c r="H385" s="491">
        <v>2453.5680000000002</v>
      </c>
      <c r="I385" s="491">
        <v>1941.5039999999999</v>
      </c>
      <c r="J385" s="495">
        <f t="shared" si="52"/>
        <v>0.26374604430379756</v>
      </c>
    </row>
    <row r="386" spans="2:10" x14ac:dyDescent="0.25">
      <c r="B386" s="449" t="s">
        <v>526</v>
      </c>
      <c r="C386" s="499">
        <v>128229.414</v>
      </c>
      <c r="D386" s="499">
        <v>119776.33100000001</v>
      </c>
      <c r="E386" s="451">
        <f t="shared" ref="E386:E393" si="53">C386/D386-1</f>
        <v>7.057390161667243E-2</v>
      </c>
      <c r="G386" s="484" t="s">
        <v>321</v>
      </c>
      <c r="H386" s="491">
        <v>2134.373</v>
      </c>
      <c r="I386" s="491">
        <v>2134.377</v>
      </c>
      <c r="J386" s="495">
        <f t="shared" si="52"/>
        <v>-1.874083163322382E-6</v>
      </c>
    </row>
    <row r="387" spans="2:10" x14ac:dyDescent="0.25">
      <c r="B387" s="449" t="s">
        <v>527</v>
      </c>
      <c r="C387" s="499">
        <v>23631.030999999999</v>
      </c>
      <c r="D387" s="499">
        <v>22829.870999999999</v>
      </c>
      <c r="E387" s="451">
        <f t="shared" si="53"/>
        <v>3.5092620540869479E-2</v>
      </c>
      <c r="G387" s="477" t="s">
        <v>300</v>
      </c>
      <c r="H387" s="500">
        <f>SUM(H379:H386)</f>
        <v>144988.913</v>
      </c>
      <c r="I387" s="500">
        <f>SUM(I379:I386)</f>
        <v>120211.757</v>
      </c>
      <c r="J387" s="480">
        <f t="shared" si="52"/>
        <v>0.20611258514423003</v>
      </c>
    </row>
    <row r="388" spans="2:10" x14ac:dyDescent="0.25">
      <c r="B388" s="449" t="s">
        <v>528</v>
      </c>
      <c r="C388" s="499">
        <v>5845.2830000000004</v>
      </c>
      <c r="D388" s="499">
        <v>3779.049</v>
      </c>
      <c r="E388" s="451">
        <f t="shared" si="53"/>
        <v>0.54676030927357666</v>
      </c>
      <c r="G388" s="477"/>
      <c r="H388" s="500"/>
      <c r="I388" s="500"/>
      <c r="J388" s="480"/>
    </row>
    <row r="389" spans="2:10" x14ac:dyDescent="0.25">
      <c r="B389" s="449" t="s">
        <v>529</v>
      </c>
      <c r="C389" s="499">
        <v>8627.8279999999995</v>
      </c>
      <c r="D389" s="499">
        <v>3700.2190000000001</v>
      </c>
      <c r="E389" s="451">
        <f t="shared" si="53"/>
        <v>1.3317073935353556</v>
      </c>
      <c r="G389" s="477" t="s">
        <v>301</v>
      </c>
      <c r="H389" s="500"/>
      <c r="I389" s="500"/>
      <c r="J389" s="480"/>
    </row>
    <row r="390" spans="2:10" x14ac:dyDescent="0.25">
      <c r="B390" s="449" t="s">
        <v>530</v>
      </c>
      <c r="C390" s="499">
        <v>34182.919000000002</v>
      </c>
      <c r="D390" s="499">
        <v>33506.178</v>
      </c>
      <c r="E390" s="451">
        <f t="shared" si="53"/>
        <v>2.0197499100016669E-2</v>
      </c>
      <c r="G390" s="484" t="s">
        <v>531</v>
      </c>
      <c r="H390" s="491">
        <v>2940.933</v>
      </c>
      <c r="I390" s="491">
        <v>2940.933</v>
      </c>
      <c r="J390" s="495">
        <f>H390/I390-1</f>
        <v>0</v>
      </c>
    </row>
    <row r="391" spans="2:10" x14ac:dyDescent="0.25">
      <c r="B391" s="449" t="s">
        <v>532</v>
      </c>
      <c r="C391" s="499">
        <v>418.39100000000002</v>
      </c>
      <c r="D391" s="499">
        <v>407.28199999999998</v>
      </c>
      <c r="E391" s="451">
        <f t="shared" si="53"/>
        <v>2.7275941485261024E-2</v>
      </c>
      <c r="G391" s="484" t="s">
        <v>303</v>
      </c>
      <c r="H391" s="491">
        <v>6412.357</v>
      </c>
      <c r="I391" s="491">
        <v>6412.357</v>
      </c>
      <c r="J391" s="495">
        <f>H391/I391-1</f>
        <v>0</v>
      </c>
    </row>
    <row r="392" spans="2:10" x14ac:dyDescent="0.25">
      <c r="B392" s="449" t="s">
        <v>321</v>
      </c>
      <c r="C392" s="499">
        <v>7.6660000000000004</v>
      </c>
      <c r="D392" s="499">
        <v>7.6660000000000004</v>
      </c>
      <c r="E392" s="451">
        <f t="shared" si="53"/>
        <v>0</v>
      </c>
      <c r="G392" s="484" t="s">
        <v>327</v>
      </c>
      <c r="H392" s="491">
        <v>33127.298999999999</v>
      </c>
      <c r="I392" s="491">
        <v>31613.718000000001</v>
      </c>
      <c r="J392" s="495">
        <f>H392/I392-1</f>
        <v>4.7877348687680454E-2</v>
      </c>
    </row>
    <row r="393" spans="2:10" x14ac:dyDescent="0.25">
      <c r="B393" s="448" t="s">
        <v>401</v>
      </c>
      <c r="C393" s="501">
        <f>SUM(C386:C392)</f>
        <v>200942.53200000001</v>
      </c>
      <c r="D393" s="501">
        <f>SUM(D386:D392)</f>
        <v>184006.59599999999</v>
      </c>
      <c r="E393" s="440">
        <f t="shared" si="53"/>
        <v>9.2039831006927697E-2</v>
      </c>
      <c r="G393" s="484" t="s">
        <v>533</v>
      </c>
      <c r="H393" s="491">
        <v>13122.817999999999</v>
      </c>
      <c r="I393" s="491">
        <v>12961.013999999999</v>
      </c>
      <c r="J393" s="495">
        <f>H393/I393-1</f>
        <v>1.2483899793642728E-2</v>
      </c>
    </row>
    <row r="394" spans="2:10" x14ac:dyDescent="0.25">
      <c r="B394" s="448"/>
      <c r="C394" s="501"/>
      <c r="D394" s="501"/>
      <c r="E394" s="442"/>
      <c r="G394" s="484" t="s">
        <v>534</v>
      </c>
      <c r="H394" s="491">
        <v>424.22699999999998</v>
      </c>
      <c r="I394" s="491">
        <v>504.19600000000003</v>
      </c>
      <c r="J394" s="495">
        <f>H394/I394-1</f>
        <v>-0.15860697030519888</v>
      </c>
    </row>
    <row r="395" spans="2:10" x14ac:dyDescent="0.25">
      <c r="B395" s="448" t="s">
        <v>301</v>
      </c>
      <c r="C395" s="501"/>
      <c r="D395" s="501"/>
      <c r="E395" s="442"/>
      <c r="G395" s="484" t="s">
        <v>422</v>
      </c>
      <c r="H395" s="491">
        <v>391.42</v>
      </c>
      <c r="I395" s="491">
        <v>0</v>
      </c>
      <c r="J395" s="495">
        <v>1</v>
      </c>
    </row>
    <row r="396" spans="2:10" x14ac:dyDescent="0.25">
      <c r="B396" s="449" t="s">
        <v>497</v>
      </c>
      <c r="C396" s="499">
        <v>18302.637999999999</v>
      </c>
      <c r="D396" s="499">
        <v>18302.637999999999</v>
      </c>
      <c r="E396" s="451">
        <f t="shared" ref="E396:E404" si="54">C396/D396-1</f>
        <v>0</v>
      </c>
      <c r="G396" s="484" t="s">
        <v>535</v>
      </c>
      <c r="H396" s="491">
        <v>685.08100000000002</v>
      </c>
      <c r="I396" s="491">
        <v>685.08100000000002</v>
      </c>
      <c r="J396" s="495">
        <f>H396/I396-1</f>
        <v>0</v>
      </c>
    </row>
    <row r="397" spans="2:10" ht="14.4" thickBot="1" x14ac:dyDescent="0.3">
      <c r="B397" s="449" t="s">
        <v>303</v>
      </c>
      <c r="C397" s="499">
        <v>64.745000000000005</v>
      </c>
      <c r="D397" s="499">
        <v>64.745000000000005</v>
      </c>
      <c r="E397" s="451">
        <f t="shared" si="54"/>
        <v>0</v>
      </c>
      <c r="G397" s="484" t="s">
        <v>304</v>
      </c>
      <c r="H397" s="491">
        <v>9206.5159999999996</v>
      </c>
      <c r="I397" s="491">
        <v>9142.4830000000002</v>
      </c>
      <c r="J397" s="495">
        <f>H397/I397-1</f>
        <v>7.0038959875560192E-3</v>
      </c>
    </row>
    <row r="398" spans="2:10" ht="14.4" thickBot="1" x14ac:dyDescent="0.3">
      <c r="B398" s="449" t="s">
        <v>536</v>
      </c>
      <c r="C398" s="499">
        <v>1812.7070000000001</v>
      </c>
      <c r="D398" s="499">
        <v>1812.7070000000001</v>
      </c>
      <c r="E398" s="451">
        <f t="shared" si="54"/>
        <v>0</v>
      </c>
      <c r="G398" s="502" t="s">
        <v>305</v>
      </c>
      <c r="H398" s="503">
        <f>SUM(H390:H397)</f>
        <v>66310.650999999998</v>
      </c>
      <c r="I398" s="503">
        <f>SUM(I390:I397)</f>
        <v>64259.781999999999</v>
      </c>
      <c r="J398" s="486">
        <f>H398/I398-1</f>
        <v>3.191528100733354E-2</v>
      </c>
    </row>
    <row r="399" spans="2:10" ht="14.4" thickBot="1" x14ac:dyDescent="0.3">
      <c r="B399" s="449" t="s">
        <v>537</v>
      </c>
      <c r="C399" s="499">
        <v>-1254.4639999999999</v>
      </c>
      <c r="D399" s="499">
        <v>-1683.037</v>
      </c>
      <c r="E399" s="451">
        <v>0.25</v>
      </c>
      <c r="J399" s="24"/>
    </row>
    <row r="400" spans="2:10" x14ac:dyDescent="0.25">
      <c r="B400" s="449" t="s">
        <v>538</v>
      </c>
      <c r="C400" s="499">
        <v>175.6</v>
      </c>
      <c r="D400" s="499">
        <v>175.6</v>
      </c>
      <c r="E400" s="451">
        <f t="shared" si="54"/>
        <v>0</v>
      </c>
      <c r="G400" s="718" t="s">
        <v>548</v>
      </c>
      <c r="H400" s="719"/>
      <c r="I400" s="719"/>
      <c r="J400" s="720"/>
    </row>
    <row r="401" spans="2:10" ht="14.4" thickBot="1" x14ac:dyDescent="0.3">
      <c r="B401" s="449" t="s">
        <v>533</v>
      </c>
      <c r="C401" s="499">
        <v>8723.875</v>
      </c>
      <c r="D401" s="499">
        <v>8304.6039999999994</v>
      </c>
      <c r="E401" s="451">
        <f t="shared" si="54"/>
        <v>5.0486573471775431E-2</v>
      </c>
      <c r="G401" s="694" t="s">
        <v>277</v>
      </c>
      <c r="H401" s="695"/>
      <c r="I401" s="695"/>
      <c r="J401" s="696"/>
    </row>
    <row r="402" spans="2:10" x14ac:dyDescent="0.25">
      <c r="B402" s="449" t="s">
        <v>327</v>
      </c>
      <c r="C402" s="499">
        <v>15316.393</v>
      </c>
      <c r="D402" s="499">
        <v>11051.695</v>
      </c>
      <c r="E402" s="451">
        <f t="shared" si="54"/>
        <v>0.38588632784382848</v>
      </c>
      <c r="G402" s="216"/>
      <c r="H402" s="217">
        <v>2022</v>
      </c>
      <c r="I402" s="217">
        <v>2021</v>
      </c>
      <c r="J402" s="218"/>
    </row>
    <row r="403" spans="2:10" ht="14.4" thickBot="1" x14ac:dyDescent="0.3">
      <c r="B403" s="449" t="s">
        <v>539</v>
      </c>
      <c r="C403" s="499">
        <v>438.68099999999998</v>
      </c>
      <c r="D403" s="499">
        <v>345.303</v>
      </c>
      <c r="E403" s="451">
        <f t="shared" si="54"/>
        <v>0.27042336730349859</v>
      </c>
      <c r="G403" s="525"/>
      <c r="H403" s="526" t="s">
        <v>278</v>
      </c>
      <c r="I403" s="526" t="s">
        <v>278</v>
      </c>
      <c r="J403" s="527"/>
    </row>
    <row r="404" spans="2:10" ht="14.4" thickBot="1" x14ac:dyDescent="0.3">
      <c r="B404" s="471" t="s">
        <v>305</v>
      </c>
      <c r="C404" s="472">
        <f>SUM(C396:C403)</f>
        <v>43580.174999999988</v>
      </c>
      <c r="D404" s="472">
        <f>SUM(D396:D403)</f>
        <v>38374.25499999999</v>
      </c>
      <c r="E404" s="446">
        <f t="shared" si="54"/>
        <v>0.13566178678908547</v>
      </c>
      <c r="G404" s="531"/>
      <c r="H404" s="178"/>
      <c r="I404" s="178"/>
      <c r="J404" s="532"/>
    </row>
    <row r="405" spans="2:10" ht="14.4" thickBot="1" x14ac:dyDescent="0.3">
      <c r="E405" s="24"/>
      <c r="G405" s="535" t="s">
        <v>306</v>
      </c>
      <c r="H405" s="536">
        <v>10760.459000000001</v>
      </c>
      <c r="I405" s="536">
        <v>8337.2950000000001</v>
      </c>
      <c r="J405" s="537">
        <f>H405/I405-1</f>
        <v>0.29064150902660879</v>
      </c>
    </row>
    <row r="406" spans="2:10" x14ac:dyDescent="0.25">
      <c r="B406" s="737" t="s">
        <v>540</v>
      </c>
      <c r="C406" s="738"/>
      <c r="D406" s="738"/>
      <c r="E406" s="739"/>
      <c r="G406" s="540" t="s">
        <v>307</v>
      </c>
      <c r="H406" s="541">
        <v>-7995.0209999999997</v>
      </c>
      <c r="I406" s="541">
        <v>-4924.6270000000004</v>
      </c>
      <c r="J406" s="537"/>
    </row>
    <row r="407" spans="2:10" ht="14.4" thickBot="1" x14ac:dyDescent="0.3">
      <c r="B407" s="716" t="s">
        <v>541</v>
      </c>
      <c r="C407" s="740"/>
      <c r="D407" s="741"/>
      <c r="E407" s="742"/>
      <c r="G407" s="535" t="s">
        <v>308</v>
      </c>
      <c r="H407" s="543">
        <v>568.72900000000061</v>
      </c>
      <c r="I407" s="543">
        <v>1063.5269999999998</v>
      </c>
      <c r="J407" s="537">
        <f>H407/I407-1</f>
        <v>-0.46524253733097443</v>
      </c>
    </row>
    <row r="408" spans="2:10" ht="14.4" thickBot="1" x14ac:dyDescent="0.3">
      <c r="B408" s="504"/>
      <c r="C408" s="505" t="s">
        <v>329</v>
      </c>
      <c r="D408" s="505" t="s">
        <v>284</v>
      </c>
      <c r="E408" s="506"/>
      <c r="G408" s="540" t="s">
        <v>281</v>
      </c>
      <c r="H408" s="545">
        <v>-182.35599999999999</v>
      </c>
      <c r="I408" s="545">
        <v>-340.32799999999997</v>
      </c>
      <c r="J408" s="537"/>
    </row>
    <row r="409" spans="2:10" ht="14.4" thickBot="1" x14ac:dyDescent="0.3">
      <c r="B409" s="507"/>
      <c r="C409" s="508" t="s">
        <v>278</v>
      </c>
      <c r="D409" s="508" t="s">
        <v>278</v>
      </c>
      <c r="E409" s="509"/>
      <c r="G409" s="535" t="s">
        <v>309</v>
      </c>
      <c r="H409" s="548">
        <f>SUM(H407:H408)</f>
        <v>386.37300000000062</v>
      </c>
      <c r="I409" s="548">
        <f>SUM(I407:I408)</f>
        <v>723.19899999999984</v>
      </c>
      <c r="J409" s="549">
        <f>H409/I409-1</f>
        <v>-0.46574455993440156</v>
      </c>
    </row>
    <row r="410" spans="2:10" ht="14.4" thickBot="1" x14ac:dyDescent="0.3">
      <c r="B410" s="510"/>
      <c r="C410" s="511"/>
      <c r="D410" s="511"/>
      <c r="E410" s="512"/>
      <c r="G410" s="554" t="s">
        <v>283</v>
      </c>
      <c r="H410" s="555"/>
      <c r="I410" s="555"/>
      <c r="J410" s="537"/>
    </row>
    <row r="411" spans="2:10" x14ac:dyDescent="0.25">
      <c r="B411" s="510" t="s">
        <v>306</v>
      </c>
      <c r="C411" s="206">
        <v>159444.503</v>
      </c>
      <c r="D411" s="206">
        <v>114956.36199999999</v>
      </c>
      <c r="E411" s="513">
        <f>C411/D411-1</f>
        <v>0.38700025145193795</v>
      </c>
      <c r="G411" s="558" t="s">
        <v>285</v>
      </c>
      <c r="H411" s="551" t="s">
        <v>340</v>
      </c>
      <c r="I411" s="552" t="s">
        <v>284</v>
      </c>
      <c r="J411" s="537"/>
    </row>
    <row r="412" spans="2:10" x14ac:dyDescent="0.25">
      <c r="B412" s="514" t="s">
        <v>307</v>
      </c>
      <c r="C412" s="209">
        <v>-102262.266</v>
      </c>
      <c r="D412" s="209">
        <v>-82527.842000000004</v>
      </c>
      <c r="E412" s="513"/>
      <c r="G412" s="558" t="s">
        <v>311</v>
      </c>
      <c r="H412" s="541"/>
      <c r="I412" s="541"/>
      <c r="J412" s="537"/>
    </row>
    <row r="413" spans="2:10" x14ac:dyDescent="0.25">
      <c r="B413" s="510" t="s">
        <v>280</v>
      </c>
      <c r="C413" s="213">
        <v>22468.139999999992</v>
      </c>
      <c r="D413" s="213">
        <v>4463.4149999999881</v>
      </c>
      <c r="E413" s="513">
        <f>(C413/D413-1)</f>
        <v>4.0338451611602446</v>
      </c>
      <c r="G413" s="561" t="s">
        <v>551</v>
      </c>
      <c r="H413" s="541">
        <v>13569.291999999999</v>
      </c>
      <c r="I413" s="541">
        <v>14063.444</v>
      </c>
      <c r="J413" s="562">
        <f>H413/I413-1</f>
        <v>-3.5137339047249028E-2</v>
      </c>
    </row>
    <row r="414" spans="2:10" ht="14.4" thickBot="1" x14ac:dyDescent="0.3">
      <c r="B414" s="514" t="s">
        <v>281</v>
      </c>
      <c r="C414" s="209">
        <v>-7189.8050000000003</v>
      </c>
      <c r="D414" s="213">
        <v>-2625.3649999999998</v>
      </c>
      <c r="E414" s="513"/>
      <c r="G414" s="561" t="s">
        <v>331</v>
      </c>
      <c r="H414" s="541">
        <v>3799.7170000000001</v>
      </c>
      <c r="I414" s="541">
        <v>3837.9259999999999</v>
      </c>
      <c r="J414" s="562">
        <f>H414/I414-1</f>
        <v>-9.955637497961134E-3</v>
      </c>
    </row>
    <row r="415" spans="2:10" ht="14.4" thickBot="1" x14ac:dyDescent="0.3">
      <c r="B415" s="510" t="s">
        <v>282</v>
      </c>
      <c r="C415" s="315">
        <v>15278.334999999992</v>
      </c>
      <c r="D415" s="315">
        <v>1838.0499999999884</v>
      </c>
      <c r="E415" s="515">
        <f>(C415/D415-1)</f>
        <v>7.3122521150132407</v>
      </c>
      <c r="G415" s="558" t="s">
        <v>313</v>
      </c>
      <c r="H415" s="536">
        <f>SUM(H413:H414)</f>
        <v>17369.008999999998</v>
      </c>
      <c r="I415" s="536">
        <f>SUM(I413:I414)</f>
        <v>17901.37</v>
      </c>
      <c r="J415" s="537">
        <f>H415/I415-1</f>
        <v>-2.9738561908948968E-2</v>
      </c>
    </row>
    <row r="416" spans="2:10" ht="14.4" thickBot="1" x14ac:dyDescent="0.3">
      <c r="B416" s="516" t="s">
        <v>283</v>
      </c>
      <c r="C416" s="517"/>
      <c r="D416" s="517"/>
      <c r="E416" s="513"/>
      <c r="G416" s="558"/>
      <c r="H416" s="536"/>
      <c r="I416" s="536"/>
      <c r="J416" s="537"/>
    </row>
    <row r="417" spans="2:10" x14ac:dyDescent="0.25">
      <c r="B417" s="306" t="s">
        <v>285</v>
      </c>
      <c r="C417" s="228" t="s">
        <v>542</v>
      </c>
      <c r="D417" s="228" t="s">
        <v>284</v>
      </c>
      <c r="E417" s="513"/>
      <c r="G417" s="558" t="s">
        <v>314</v>
      </c>
      <c r="H417" s="536"/>
      <c r="I417" s="536"/>
      <c r="J417" s="537"/>
    </row>
    <row r="418" spans="2:10" x14ac:dyDescent="0.25">
      <c r="B418" s="306" t="s">
        <v>311</v>
      </c>
      <c r="C418" s="230"/>
      <c r="D418" s="230"/>
      <c r="E418" s="513"/>
      <c r="G418" s="561" t="s">
        <v>489</v>
      </c>
      <c r="H418" s="541">
        <v>5675.2709999999997</v>
      </c>
      <c r="I418" s="541">
        <v>4291.5739999999996</v>
      </c>
      <c r="J418" s="562">
        <f t="shared" ref="J418:J424" si="55">H418/I418-1</f>
        <v>0.32242179675801941</v>
      </c>
    </row>
    <row r="419" spans="2:10" x14ac:dyDescent="0.25">
      <c r="B419" s="310" t="s">
        <v>543</v>
      </c>
      <c r="C419" s="239">
        <v>95880.827000000005</v>
      </c>
      <c r="D419" s="239">
        <v>94236.887000000002</v>
      </c>
      <c r="E419" s="518">
        <f>C419/D419-1</f>
        <v>1.7444761306684597E-2</v>
      </c>
      <c r="G419" s="561" t="s">
        <v>449</v>
      </c>
      <c r="H419" s="541">
        <v>10679.143</v>
      </c>
      <c r="I419" s="541">
        <v>9794.1020000000008</v>
      </c>
      <c r="J419" s="562">
        <f t="shared" si="55"/>
        <v>9.0364690912959622E-2</v>
      </c>
    </row>
    <row r="420" spans="2:10" x14ac:dyDescent="0.25">
      <c r="B420" s="310" t="s">
        <v>544</v>
      </c>
      <c r="C420" s="239">
        <v>359.89400000000001</v>
      </c>
      <c r="D420" s="239">
        <v>432.00099999999998</v>
      </c>
      <c r="E420" s="518">
        <f>C420/D420-1</f>
        <v>-0.16691396547693171</v>
      </c>
      <c r="G420" s="561" t="s">
        <v>387</v>
      </c>
      <c r="H420" s="541">
        <v>658.15899999999999</v>
      </c>
      <c r="I420" s="541">
        <v>658.15899999999999</v>
      </c>
      <c r="J420" s="562">
        <f t="shared" si="55"/>
        <v>0</v>
      </c>
    </row>
    <row r="421" spans="2:10" x14ac:dyDescent="0.25">
      <c r="B421" s="310" t="s">
        <v>545</v>
      </c>
      <c r="C421" s="239">
        <v>0.36499999999999999</v>
      </c>
      <c r="D421" s="239">
        <v>2.0920000000000001</v>
      </c>
      <c r="E421" s="518">
        <f>C421/D421-1</f>
        <v>-0.82552581261950286</v>
      </c>
      <c r="G421" s="561" t="s">
        <v>289</v>
      </c>
      <c r="H421" s="541">
        <v>369.27699999999999</v>
      </c>
      <c r="I421" s="541">
        <v>832.17700000000002</v>
      </c>
      <c r="J421" s="562">
        <f t="shared" si="55"/>
        <v>-0.55625185507410091</v>
      </c>
    </row>
    <row r="422" spans="2:10" x14ac:dyDescent="0.25">
      <c r="B422" s="306" t="s">
        <v>313</v>
      </c>
      <c r="C422" s="233">
        <f>SUM(C419:C421)</f>
        <v>96241.08600000001</v>
      </c>
      <c r="D422" s="233">
        <f>SUM(D419:D421)</f>
        <v>94670.98000000001</v>
      </c>
      <c r="E422" s="513">
        <f>C422/D422-1</f>
        <v>1.6584871097774734E-2</v>
      </c>
      <c r="G422" s="561" t="s">
        <v>559</v>
      </c>
      <c r="H422" s="541">
        <v>9661.8549999999996</v>
      </c>
      <c r="I422" s="541">
        <v>7044.0159999999996</v>
      </c>
      <c r="J422" s="562">
        <f t="shared" si="55"/>
        <v>0.37164012688216497</v>
      </c>
    </row>
    <row r="423" spans="2:10" x14ac:dyDescent="0.25">
      <c r="B423" s="306"/>
      <c r="C423" s="233"/>
      <c r="D423" s="233"/>
      <c r="E423" s="513"/>
      <c r="G423" s="558" t="s">
        <v>318</v>
      </c>
      <c r="H423" s="536">
        <f>SUM(H418:H422)</f>
        <v>27043.704999999998</v>
      </c>
      <c r="I423" s="536">
        <f>SUM(I418:I422)</f>
        <v>22620.027999999998</v>
      </c>
      <c r="J423" s="537">
        <f t="shared" si="55"/>
        <v>0.19556461203319464</v>
      </c>
    </row>
    <row r="424" spans="2:10" x14ac:dyDescent="0.25">
      <c r="B424" s="306" t="s">
        <v>314</v>
      </c>
      <c r="C424" s="233"/>
      <c r="D424" s="233"/>
      <c r="E424" s="513"/>
      <c r="G424" s="558" t="s">
        <v>452</v>
      </c>
      <c r="H424" s="536">
        <f>H423+H415</f>
        <v>44412.713999999993</v>
      </c>
      <c r="I424" s="536">
        <f>I423+I415</f>
        <v>40521.398000000001</v>
      </c>
      <c r="J424" s="537">
        <f t="shared" si="55"/>
        <v>9.6031138905918079E-2</v>
      </c>
    </row>
    <row r="425" spans="2:10" x14ac:dyDescent="0.25">
      <c r="B425" s="310" t="s">
        <v>315</v>
      </c>
      <c r="C425" s="239">
        <v>32597.303</v>
      </c>
      <c r="D425" s="239">
        <v>21460.505000000001</v>
      </c>
      <c r="E425" s="518">
        <f t="shared" ref="E425:E431" si="56">C425/D425-1</f>
        <v>0.51894389251324702</v>
      </c>
      <c r="G425" s="558"/>
      <c r="H425" s="536"/>
      <c r="I425" s="536"/>
      <c r="J425" s="562"/>
    </row>
    <row r="426" spans="2:10" x14ac:dyDescent="0.25">
      <c r="B426" s="310" t="s">
        <v>316</v>
      </c>
      <c r="C426" s="239">
        <v>12810.938</v>
      </c>
      <c r="D426" s="239">
        <v>14019.385</v>
      </c>
      <c r="E426" s="518">
        <f t="shared" si="56"/>
        <v>-8.6198289011964468E-2</v>
      </c>
      <c r="G426" s="558" t="s">
        <v>294</v>
      </c>
      <c r="H426" s="536"/>
      <c r="I426" s="536"/>
      <c r="J426" s="562"/>
    </row>
    <row r="427" spans="2:10" x14ac:dyDescent="0.25">
      <c r="B427" s="310" t="s">
        <v>386</v>
      </c>
      <c r="C427" s="239">
        <v>10936.33</v>
      </c>
      <c r="D427" s="239">
        <v>404.94</v>
      </c>
      <c r="E427" s="518">
        <f t="shared" si="56"/>
        <v>26.007285029880968</v>
      </c>
      <c r="G427" s="558" t="s">
        <v>320</v>
      </c>
      <c r="H427" s="536"/>
      <c r="I427" s="536"/>
      <c r="J427" s="562"/>
    </row>
    <row r="428" spans="2:10" x14ac:dyDescent="0.25">
      <c r="B428" s="310" t="s">
        <v>451</v>
      </c>
      <c r="C428" s="239">
        <v>2056.7600000000002</v>
      </c>
      <c r="D428" s="239">
        <v>2981.8809999999999</v>
      </c>
      <c r="E428" s="518">
        <f t="shared" si="56"/>
        <v>-0.3102474578965424</v>
      </c>
      <c r="G428" s="561" t="s">
        <v>561</v>
      </c>
      <c r="H428" s="541">
        <v>38.57</v>
      </c>
      <c r="I428" s="541">
        <v>38.57</v>
      </c>
      <c r="J428" s="562">
        <f>H428/I428-1</f>
        <v>0</v>
      </c>
    </row>
    <row r="429" spans="2:10" x14ac:dyDescent="0.25">
      <c r="B429" s="310" t="s">
        <v>317</v>
      </c>
      <c r="C429" s="239">
        <v>52682.438000000002</v>
      </c>
      <c r="D429" s="239">
        <v>35868.834000000003</v>
      </c>
      <c r="E429" s="518">
        <f t="shared" si="56"/>
        <v>0.46875245512580643</v>
      </c>
      <c r="G429" s="561" t="s">
        <v>420</v>
      </c>
      <c r="H429" s="541">
        <v>3293.4029999999998</v>
      </c>
      <c r="I429" s="541">
        <v>3139.4169999999999</v>
      </c>
      <c r="J429" s="562">
        <f t="shared" ref="J429:J431" si="57">H429/I429-1</f>
        <v>4.9049234300508671E-2</v>
      </c>
    </row>
    <row r="430" spans="2:10" x14ac:dyDescent="0.25">
      <c r="B430" s="306" t="s">
        <v>318</v>
      </c>
      <c r="C430" s="233">
        <f>SUM(C425:C429)</f>
        <v>111083.769</v>
      </c>
      <c r="D430" s="233">
        <f>SUM(D425:D429)</f>
        <v>74735.545000000013</v>
      </c>
      <c r="E430" s="513">
        <f t="shared" si="56"/>
        <v>0.48635791710624421</v>
      </c>
      <c r="G430" s="561" t="s">
        <v>562</v>
      </c>
      <c r="H430" s="541">
        <v>136.827</v>
      </c>
      <c r="I430" s="541">
        <v>138.214</v>
      </c>
      <c r="J430" s="562">
        <f t="shared" si="57"/>
        <v>-1.0035162863385794E-2</v>
      </c>
    </row>
    <row r="431" spans="2:10" x14ac:dyDescent="0.25">
      <c r="B431" s="306" t="s">
        <v>319</v>
      </c>
      <c r="C431" s="233">
        <f>C430+C422</f>
        <v>207324.85500000001</v>
      </c>
      <c r="D431" s="233">
        <f>D430+D422</f>
        <v>169406.52500000002</v>
      </c>
      <c r="E431" s="513">
        <f t="shared" si="56"/>
        <v>0.22383039850442588</v>
      </c>
      <c r="G431" s="561" t="s">
        <v>564</v>
      </c>
      <c r="H431" s="541">
        <v>2356.442</v>
      </c>
      <c r="I431" s="541">
        <v>2356.442</v>
      </c>
      <c r="J431" s="562">
        <f t="shared" si="57"/>
        <v>0</v>
      </c>
    </row>
    <row r="432" spans="2:10" x14ac:dyDescent="0.25">
      <c r="B432" s="306"/>
      <c r="C432" s="233"/>
      <c r="D432" s="233"/>
      <c r="E432" s="513"/>
      <c r="G432" s="558" t="s">
        <v>322</v>
      </c>
      <c r="H432" s="536">
        <f>SUM(H428:H431)</f>
        <v>5825.2420000000002</v>
      </c>
      <c r="I432" s="536">
        <f>SUM(I428:I431)</f>
        <v>5672.643</v>
      </c>
      <c r="J432" s="537">
        <f>H432/I432-1</f>
        <v>2.690086437662309E-2</v>
      </c>
    </row>
    <row r="433" spans="2:10" x14ac:dyDescent="0.25">
      <c r="B433" s="306" t="s">
        <v>294</v>
      </c>
      <c r="C433" s="233"/>
      <c r="D433" s="233"/>
      <c r="E433" s="513"/>
      <c r="G433" s="561"/>
      <c r="H433" s="541"/>
      <c r="I433" s="541"/>
      <c r="J433" s="562"/>
    </row>
    <row r="434" spans="2:10" x14ac:dyDescent="0.25">
      <c r="B434" s="306" t="s">
        <v>320</v>
      </c>
      <c r="C434" s="233"/>
      <c r="D434" s="233"/>
      <c r="E434" s="513"/>
      <c r="G434" s="558" t="s">
        <v>323</v>
      </c>
      <c r="H434" s="536"/>
      <c r="I434" s="536"/>
      <c r="J434" s="537"/>
    </row>
    <row r="435" spans="2:10" x14ac:dyDescent="0.25">
      <c r="B435" s="310" t="s">
        <v>546</v>
      </c>
      <c r="C435" s="239">
        <v>171.71199999999999</v>
      </c>
      <c r="D435" s="239">
        <v>184.309</v>
      </c>
      <c r="E435" s="518">
        <f>C435/D435-1</f>
        <v>-6.8347177837219109E-2</v>
      </c>
      <c r="G435" s="561" t="s">
        <v>493</v>
      </c>
      <c r="H435" s="541">
        <v>18052.345000000001</v>
      </c>
      <c r="I435" s="541">
        <v>14089.986000000001</v>
      </c>
      <c r="J435" s="562">
        <f>H435/I435-1</f>
        <v>0.28121809347433002</v>
      </c>
    </row>
    <row r="436" spans="2:10" x14ac:dyDescent="0.25">
      <c r="B436" s="310" t="s">
        <v>419</v>
      </c>
      <c r="C436" s="239">
        <v>1295.26</v>
      </c>
      <c r="D436" s="239">
        <v>1264.5309999999999</v>
      </c>
      <c r="E436" s="518">
        <f>C436/D436-1</f>
        <v>2.4300709116660713E-2</v>
      </c>
      <c r="G436" s="561" t="s">
        <v>546</v>
      </c>
      <c r="H436" s="541">
        <v>272.411</v>
      </c>
      <c r="I436" s="541">
        <v>500.84500000000003</v>
      </c>
      <c r="J436" s="562">
        <f t="shared" ref="J436:J438" si="58">H436/I436-1</f>
        <v>-0.45609719573920082</v>
      </c>
    </row>
    <row r="437" spans="2:10" x14ac:dyDescent="0.25">
      <c r="B437" s="310" t="s">
        <v>321</v>
      </c>
      <c r="C437" s="239">
        <v>10877.427</v>
      </c>
      <c r="D437" s="239">
        <v>10877.427</v>
      </c>
      <c r="E437" s="518">
        <f>C437/D437-1</f>
        <v>0</v>
      </c>
      <c r="G437" s="561" t="s">
        <v>565</v>
      </c>
      <c r="H437" s="541">
        <v>3710.2759999999998</v>
      </c>
      <c r="I437" s="541">
        <v>4274.2129999999997</v>
      </c>
      <c r="J437" s="562">
        <f t="shared" si="58"/>
        <v>-0.13193937690985447</v>
      </c>
    </row>
    <row r="438" spans="2:10" x14ac:dyDescent="0.25">
      <c r="B438" s="306" t="s">
        <v>322</v>
      </c>
      <c r="C438" s="233">
        <f>SUM(C435:C437)</f>
        <v>12344.398999999999</v>
      </c>
      <c r="D438" s="233">
        <f>SUM(D435:D437)</f>
        <v>12326.267</v>
      </c>
      <c r="E438" s="513">
        <f>C438/D438-1</f>
        <v>1.471004968495393E-3</v>
      </c>
      <c r="G438" s="561" t="s">
        <v>566</v>
      </c>
      <c r="H438" s="541">
        <v>1535.3869999999999</v>
      </c>
      <c r="I438" s="541">
        <v>1353.0309999999999</v>
      </c>
      <c r="J438" s="562">
        <f t="shared" si="58"/>
        <v>0.13477592161598673</v>
      </c>
    </row>
    <row r="439" spans="2:10" x14ac:dyDescent="0.25">
      <c r="B439" s="310"/>
      <c r="C439" s="233"/>
      <c r="D439" s="233"/>
      <c r="E439" s="513"/>
      <c r="G439" s="558" t="s">
        <v>336</v>
      </c>
      <c r="H439" s="536">
        <f>SUM(H435:H438)</f>
        <v>23570.418999999998</v>
      </c>
      <c r="I439" s="536">
        <f>SUM(I435:I438)</f>
        <v>20218.075000000001</v>
      </c>
      <c r="J439" s="537">
        <f>H439/I439-1</f>
        <v>0.16580925731059937</v>
      </c>
    </row>
    <row r="440" spans="2:10" x14ac:dyDescent="0.25">
      <c r="B440" s="306" t="s">
        <v>323</v>
      </c>
      <c r="C440" s="239"/>
      <c r="D440" s="239"/>
      <c r="E440" s="518"/>
      <c r="G440" s="558" t="s">
        <v>460</v>
      </c>
      <c r="H440" s="536">
        <f>H439+H432</f>
        <v>29395.661</v>
      </c>
      <c r="I440" s="536">
        <f>I439+I432</f>
        <v>25890.718000000001</v>
      </c>
      <c r="J440" s="537">
        <f>H440/I440-1</f>
        <v>0.13537449984971439</v>
      </c>
    </row>
    <row r="441" spans="2:10" x14ac:dyDescent="0.25">
      <c r="B441" s="310" t="s">
        <v>324</v>
      </c>
      <c r="C441" s="239">
        <v>7540.4669999999996</v>
      </c>
      <c r="D441" s="239">
        <v>992.98599999999999</v>
      </c>
      <c r="E441" s="518">
        <f t="shared" ref="E441:E448" si="59">C441/D441-1</f>
        <v>6.5937294181388255</v>
      </c>
      <c r="G441" s="558"/>
      <c r="H441" s="536"/>
      <c r="I441" s="536"/>
      <c r="J441" s="537"/>
    </row>
    <row r="442" spans="2:10" x14ac:dyDescent="0.25">
      <c r="B442" s="310" t="s">
        <v>396</v>
      </c>
      <c r="C442" s="239">
        <v>2130.4670000000001</v>
      </c>
      <c r="D442" s="239">
        <v>3122.6930000000002</v>
      </c>
      <c r="E442" s="518">
        <f t="shared" si="59"/>
        <v>-0.31774689346663287</v>
      </c>
      <c r="G442" s="558" t="s">
        <v>301</v>
      </c>
      <c r="H442" s="536"/>
      <c r="I442" s="536"/>
      <c r="J442" s="537"/>
    </row>
    <row r="443" spans="2:10" x14ac:dyDescent="0.25">
      <c r="B443" s="310" t="s">
        <v>547</v>
      </c>
      <c r="C443" s="239">
        <v>27135.458999999999</v>
      </c>
      <c r="D443" s="239">
        <v>15993.143</v>
      </c>
      <c r="E443" s="518">
        <f t="shared" si="59"/>
        <v>0.69669332663379535</v>
      </c>
      <c r="G443" s="561" t="s">
        <v>567</v>
      </c>
      <c r="H443" s="541">
        <v>1324.7190000000001</v>
      </c>
      <c r="I443" s="541">
        <v>1324.7190000000001</v>
      </c>
      <c r="J443" s="562">
        <f>H443/I443-1</f>
        <v>0</v>
      </c>
    </row>
    <row r="444" spans="2:10" x14ac:dyDescent="0.25">
      <c r="B444" s="310" t="s">
        <v>546</v>
      </c>
      <c r="C444" s="239">
        <v>4.9000000000000002E-2</v>
      </c>
      <c r="D444" s="239">
        <v>293.39100000000002</v>
      </c>
      <c r="E444" s="518">
        <f t="shared" si="59"/>
        <v>-0.99983298737861759</v>
      </c>
      <c r="G444" s="561" t="s">
        <v>303</v>
      </c>
      <c r="H444" s="541">
        <v>434.03699999999998</v>
      </c>
      <c r="I444" s="541">
        <v>434.03699999999998</v>
      </c>
      <c r="J444" s="562">
        <f>H444/I444-1</f>
        <v>0</v>
      </c>
    </row>
    <row r="445" spans="2:10" ht="14.4" thickBot="1" x14ac:dyDescent="0.3">
      <c r="B445" s="310" t="s">
        <v>495</v>
      </c>
      <c r="C445" s="239">
        <v>705.44299999999998</v>
      </c>
      <c r="D445" s="239">
        <v>715.93700000000001</v>
      </c>
      <c r="E445" s="518">
        <f t="shared" si="59"/>
        <v>-1.4657714296090307E-2</v>
      </c>
      <c r="G445" s="561" t="s">
        <v>327</v>
      </c>
      <c r="H445" s="541">
        <v>13258.297</v>
      </c>
      <c r="I445" s="541">
        <v>12871.924000000001</v>
      </c>
      <c r="J445" s="562">
        <f>H445/I445-1</f>
        <v>3.0016724772458314E-2</v>
      </c>
    </row>
    <row r="446" spans="2:10" ht="14.4" thickBot="1" x14ac:dyDescent="0.3">
      <c r="B446" s="310" t="s">
        <v>325</v>
      </c>
      <c r="C446" s="239">
        <v>67403.544999999998</v>
      </c>
      <c r="D446" s="239">
        <v>61675.534</v>
      </c>
      <c r="E446" s="518">
        <f t="shared" si="59"/>
        <v>9.2873310184878211E-2</v>
      </c>
      <c r="G446" s="554" t="s">
        <v>305</v>
      </c>
      <c r="H446" s="548">
        <f>SUM(H443:H445)</f>
        <v>15017.053</v>
      </c>
      <c r="I446" s="548">
        <f>SUM(I443:I445)</f>
        <v>14630.68</v>
      </c>
      <c r="J446" s="549">
        <f>H446/I446-1</f>
        <v>2.6408410272113159E-2</v>
      </c>
    </row>
    <row r="447" spans="2:10" ht="14.4" thickBot="1" x14ac:dyDescent="0.3">
      <c r="B447" s="306" t="s">
        <v>336</v>
      </c>
      <c r="C447" s="233">
        <f>SUM(C441:C446)</f>
        <v>104915.43</v>
      </c>
      <c r="D447" s="233">
        <f>SUM(D441:D446)</f>
        <v>82793.684000000008</v>
      </c>
      <c r="E447" s="513">
        <f t="shared" si="59"/>
        <v>0.26719122680903995</v>
      </c>
      <c r="J447" s="24"/>
    </row>
    <row r="448" spans="2:10" x14ac:dyDescent="0.25">
      <c r="B448" s="306" t="s">
        <v>300</v>
      </c>
      <c r="C448" s="233">
        <f>C447+C438</f>
        <v>117259.829</v>
      </c>
      <c r="D448" s="233">
        <f>D447+D438</f>
        <v>95119.951000000001</v>
      </c>
      <c r="E448" s="513">
        <f t="shared" si="59"/>
        <v>0.23275745800163405</v>
      </c>
      <c r="G448" s="730" t="s">
        <v>568</v>
      </c>
      <c r="H448" s="731"/>
      <c r="I448" s="731"/>
      <c r="J448" s="732"/>
    </row>
    <row r="449" spans="2:10" ht="14.4" thickBot="1" x14ac:dyDescent="0.3">
      <c r="B449" s="306"/>
      <c r="C449" s="233"/>
      <c r="D449" s="233"/>
      <c r="E449" s="513"/>
      <c r="G449" s="703" t="s">
        <v>277</v>
      </c>
      <c r="H449" s="704"/>
      <c r="I449" s="704"/>
      <c r="J449" s="705"/>
    </row>
    <row r="450" spans="2:10" x14ac:dyDescent="0.25">
      <c r="B450" s="306" t="s">
        <v>301</v>
      </c>
      <c r="C450" s="239"/>
      <c r="D450" s="239"/>
      <c r="E450" s="513"/>
      <c r="G450" s="334"/>
      <c r="H450" s="452">
        <v>2022</v>
      </c>
      <c r="I450" s="452">
        <v>2021</v>
      </c>
      <c r="J450" s="218"/>
    </row>
    <row r="451" spans="2:10" ht="14.4" thickBot="1" x14ac:dyDescent="0.3">
      <c r="B451" s="310" t="s">
        <v>302</v>
      </c>
      <c r="C451" s="239">
        <v>1095.191</v>
      </c>
      <c r="D451" s="239">
        <v>1095.191</v>
      </c>
      <c r="E451" s="518">
        <f>C451/D451-1</f>
        <v>0</v>
      </c>
      <c r="G451" s="453"/>
      <c r="H451" s="454" t="s">
        <v>278</v>
      </c>
      <c r="I451" s="454" t="s">
        <v>278</v>
      </c>
      <c r="J451" s="455"/>
    </row>
    <row r="452" spans="2:10" x14ac:dyDescent="0.25">
      <c r="B452" s="310" t="s">
        <v>303</v>
      </c>
      <c r="C452" s="239">
        <v>47447.029000000002</v>
      </c>
      <c r="D452" s="239">
        <v>47447.029000000002</v>
      </c>
      <c r="E452" s="518">
        <f>C452/D452-1</f>
        <v>0</v>
      </c>
      <c r="G452" s="456"/>
      <c r="H452" s="577"/>
      <c r="I452" s="578"/>
      <c r="J452" s="183"/>
    </row>
    <row r="453" spans="2:10" ht="14.4" thickBot="1" x14ac:dyDescent="0.3">
      <c r="B453" s="310" t="s">
        <v>327</v>
      </c>
      <c r="C453" s="239">
        <v>41522.805999999997</v>
      </c>
      <c r="D453" s="239">
        <v>25744.355</v>
      </c>
      <c r="E453" s="518">
        <f>C453/D453-1</f>
        <v>0.61288973835234928</v>
      </c>
      <c r="G453" s="456" t="s">
        <v>306</v>
      </c>
      <c r="H453" s="551">
        <v>152.38999999999999</v>
      </c>
      <c r="I453" s="551">
        <v>460.83699999999999</v>
      </c>
      <c r="J453" s="183">
        <f>H453/I453-1</f>
        <v>-0.66931908679207619</v>
      </c>
    </row>
    <row r="454" spans="2:10" ht="14.4" thickBot="1" x14ac:dyDescent="0.3">
      <c r="B454" s="519" t="s">
        <v>305</v>
      </c>
      <c r="C454" s="315">
        <f>SUM(C451:C453)</f>
        <v>90065.025999999998</v>
      </c>
      <c r="D454" s="315">
        <f>SUM(D451:D453)</f>
        <v>74286.574999999997</v>
      </c>
      <c r="E454" s="515">
        <f>C454/D454-1</f>
        <v>0.21239976402196503</v>
      </c>
      <c r="G454" s="461" t="s">
        <v>377</v>
      </c>
      <c r="H454" s="580">
        <v>-122.797</v>
      </c>
      <c r="I454" s="580">
        <v>-404.96300000000002</v>
      </c>
      <c r="J454" s="183"/>
    </row>
    <row r="455" spans="2:10" ht="14.4" thickBot="1" x14ac:dyDescent="0.3">
      <c r="G455" s="456" t="s">
        <v>280</v>
      </c>
      <c r="H455" s="551">
        <v>-37.021999999999998</v>
      </c>
      <c r="I455" s="551">
        <v>-6.48</v>
      </c>
      <c r="J455" s="183">
        <f>-(H455/I455-1)</f>
        <v>-4.7132716049382708</v>
      </c>
    </row>
    <row r="456" spans="2:10" ht="14.4" thickBot="1" x14ac:dyDescent="0.3">
      <c r="B456" s="743" t="s">
        <v>680</v>
      </c>
      <c r="C456" s="744"/>
      <c r="D456" s="744"/>
      <c r="E456" s="745"/>
      <c r="G456" s="461" t="s">
        <v>281</v>
      </c>
      <c r="H456" s="580">
        <v>0</v>
      </c>
      <c r="I456" s="580">
        <v>0</v>
      </c>
      <c r="J456" s="183"/>
    </row>
    <row r="457" spans="2:10" ht="14.4" thickBot="1" x14ac:dyDescent="0.3">
      <c r="B457" s="721" t="s">
        <v>277</v>
      </c>
      <c r="C457" s="722"/>
      <c r="D457" s="722"/>
      <c r="E457" s="723"/>
      <c r="G457" s="456" t="s">
        <v>282</v>
      </c>
      <c r="H457" s="583">
        <f>H455+H456</f>
        <v>-37.021999999999998</v>
      </c>
      <c r="I457" s="583">
        <f>I455+I456</f>
        <v>-6.48</v>
      </c>
      <c r="J457" s="187">
        <f>-(H457/I457-1)</f>
        <v>-4.7132716049382708</v>
      </c>
    </row>
    <row r="458" spans="2:10" ht="15" thickBot="1" x14ac:dyDescent="0.35">
      <c r="B458" s="520"/>
      <c r="C458" s="354">
        <v>2022</v>
      </c>
      <c r="D458" s="354">
        <v>2021</v>
      </c>
      <c r="E458" s="521"/>
      <c r="G458" s="584" t="s">
        <v>283</v>
      </c>
      <c r="H458" s="517"/>
      <c r="I458" s="517"/>
      <c r="J458" s="183"/>
    </row>
    <row r="459" spans="2:10" ht="14.4" thickBot="1" x14ac:dyDescent="0.3">
      <c r="B459" s="522"/>
      <c r="C459" s="523" t="s">
        <v>278</v>
      </c>
      <c r="D459" s="523" t="s">
        <v>278</v>
      </c>
      <c r="E459" s="524"/>
      <c r="G459" s="456" t="s">
        <v>285</v>
      </c>
      <c r="H459" s="551" t="s">
        <v>340</v>
      </c>
      <c r="I459" s="552" t="s">
        <v>284</v>
      </c>
      <c r="J459" s="183"/>
    </row>
    <row r="460" spans="2:10" x14ac:dyDescent="0.25">
      <c r="B460" s="528"/>
      <c r="C460" s="529"/>
      <c r="D460" s="529"/>
      <c r="E460" s="530"/>
      <c r="G460" s="456" t="s">
        <v>311</v>
      </c>
      <c r="H460" s="580"/>
      <c r="I460" s="586"/>
      <c r="J460" s="183"/>
    </row>
    <row r="461" spans="2:10" x14ac:dyDescent="0.25">
      <c r="B461" s="533" t="s">
        <v>279</v>
      </c>
      <c r="C461" s="424">
        <v>119593.273</v>
      </c>
      <c r="D461" s="424">
        <v>106165.776</v>
      </c>
      <c r="E461" s="534">
        <f>C461/D461-1</f>
        <v>0.12647669998663225</v>
      </c>
      <c r="G461" s="461" t="s">
        <v>484</v>
      </c>
      <c r="H461" s="580">
        <v>2039.452</v>
      </c>
      <c r="I461" s="580">
        <v>2056.4720000000002</v>
      </c>
      <c r="J461" s="191">
        <f>H461/I461-1</f>
        <v>-8.2763101077963919E-3</v>
      </c>
    </row>
    <row r="462" spans="2:10" x14ac:dyDescent="0.25">
      <c r="B462" s="538" t="s">
        <v>308</v>
      </c>
      <c r="C462" s="539">
        <v>54285.39499999999</v>
      </c>
      <c r="D462" s="539">
        <v>53682.978000000003</v>
      </c>
      <c r="E462" s="534">
        <f>C462/D462-1</f>
        <v>1.1221750775450401E-2</v>
      </c>
      <c r="G462" s="461"/>
      <c r="H462" s="551">
        <f>SUM(H461)</f>
        <v>2039.452</v>
      </c>
      <c r="I462" s="551">
        <f>SUM(I461)</f>
        <v>2056.4720000000002</v>
      </c>
      <c r="J462" s="183">
        <f>H462/I462-1</f>
        <v>-8.2763101077963919E-3</v>
      </c>
    </row>
    <row r="463" spans="2:10" ht="14.4" thickBot="1" x14ac:dyDescent="0.3">
      <c r="B463" s="542" t="s">
        <v>281</v>
      </c>
      <c r="C463" s="425">
        <v>-11077.614</v>
      </c>
      <c r="D463" s="425">
        <v>-8136.9170000000004</v>
      </c>
      <c r="E463" s="534"/>
      <c r="G463" s="456" t="s">
        <v>314</v>
      </c>
      <c r="H463" s="580"/>
      <c r="I463" s="580"/>
      <c r="J463" s="191"/>
    </row>
    <row r="464" spans="2:10" ht="14.4" thickBot="1" x14ac:dyDescent="0.3">
      <c r="B464" s="533" t="s">
        <v>309</v>
      </c>
      <c r="C464" s="426">
        <v>43207.780999999988</v>
      </c>
      <c r="D464" s="426">
        <v>45546.061000000002</v>
      </c>
      <c r="E464" s="544">
        <f>C464/D464-1</f>
        <v>-5.1338797442879058E-2</v>
      </c>
      <c r="G464" s="461" t="s">
        <v>489</v>
      </c>
      <c r="H464" s="580">
        <v>170.28399999999999</v>
      </c>
      <c r="I464" s="580">
        <v>182.38300000000001</v>
      </c>
      <c r="J464" s="191">
        <f t="shared" ref="J464:J469" si="60">H464/I464-1</f>
        <v>-6.6338419699204509E-2</v>
      </c>
    </row>
    <row r="465" spans="2:10" ht="14.4" thickBot="1" x14ac:dyDescent="0.3">
      <c r="B465" s="546" t="s">
        <v>283</v>
      </c>
      <c r="C465" s="547"/>
      <c r="D465" s="547"/>
      <c r="E465" s="530"/>
      <c r="G465" s="461" t="s">
        <v>572</v>
      </c>
      <c r="H465" s="580">
        <v>21.28</v>
      </c>
      <c r="I465" s="580">
        <v>11.69</v>
      </c>
      <c r="J465" s="191">
        <f t="shared" si="60"/>
        <v>0.82035928143712589</v>
      </c>
    </row>
    <row r="466" spans="2:10" x14ac:dyDescent="0.25">
      <c r="B466" s="550"/>
      <c r="C466" s="551" t="s">
        <v>340</v>
      </c>
      <c r="D466" s="552" t="s">
        <v>284</v>
      </c>
      <c r="E466" s="553"/>
      <c r="G466" s="461" t="s">
        <v>573</v>
      </c>
      <c r="H466" s="580">
        <v>27.562000000000001</v>
      </c>
      <c r="I466" s="580">
        <v>46.021999999999998</v>
      </c>
      <c r="J466" s="191">
        <f t="shared" si="60"/>
        <v>-0.40111251140758764</v>
      </c>
    </row>
    <row r="467" spans="2:10" x14ac:dyDescent="0.25">
      <c r="B467" s="550" t="s">
        <v>285</v>
      </c>
      <c r="C467" s="556"/>
      <c r="D467" s="556"/>
      <c r="E467" s="557"/>
      <c r="G467" s="461" t="s">
        <v>574</v>
      </c>
      <c r="H467" s="580">
        <v>18.64</v>
      </c>
      <c r="I467" s="580">
        <v>38.753999999999998</v>
      </c>
      <c r="J467" s="191">
        <f t="shared" si="60"/>
        <v>-0.51901739175310935</v>
      </c>
    </row>
    <row r="468" spans="2:10" x14ac:dyDescent="0.25">
      <c r="B468" s="559" t="s">
        <v>549</v>
      </c>
      <c r="C468" s="556">
        <v>915897.29599999997</v>
      </c>
      <c r="D468" s="556">
        <v>933591.06900000002</v>
      </c>
      <c r="E468" s="560">
        <f t="shared" ref="E468:E482" si="61">C468/D468-1</f>
        <v>-1.8952380316740181E-2</v>
      </c>
      <c r="G468" s="461"/>
      <c r="H468" s="551">
        <f>SUM(H464:H467)</f>
        <v>237.76600000000002</v>
      </c>
      <c r="I468" s="551">
        <f>SUM(I464:I467)</f>
        <v>278.84899999999999</v>
      </c>
      <c r="J468" s="183">
        <f t="shared" si="60"/>
        <v>-0.14733063414249281</v>
      </c>
    </row>
    <row r="469" spans="2:10" x14ac:dyDescent="0.25">
      <c r="B469" s="559" t="s">
        <v>550</v>
      </c>
      <c r="C469" s="556">
        <v>183998.3</v>
      </c>
      <c r="D469" s="556">
        <v>104397.651</v>
      </c>
      <c r="E469" s="560">
        <f t="shared" si="61"/>
        <v>0.76247547945307681</v>
      </c>
      <c r="G469" s="456" t="s">
        <v>319</v>
      </c>
      <c r="H469" s="551">
        <f>H462+H468</f>
        <v>2277.2179999999998</v>
      </c>
      <c r="I469" s="551">
        <f>I462+I468</f>
        <v>2335.3210000000004</v>
      </c>
      <c r="J469" s="183">
        <f t="shared" si="60"/>
        <v>-2.4880091430685813E-2</v>
      </c>
    </row>
    <row r="470" spans="2:10" x14ac:dyDescent="0.25">
      <c r="B470" s="559" t="s">
        <v>552</v>
      </c>
      <c r="C470" s="563">
        <v>14116.495999999999</v>
      </c>
      <c r="D470" s="563">
        <v>24913.435000000001</v>
      </c>
      <c r="E470" s="560">
        <f t="shared" si="61"/>
        <v>-0.43337817526968891</v>
      </c>
      <c r="G470" s="456"/>
      <c r="H470" s="551"/>
      <c r="I470" s="551"/>
      <c r="J470" s="183"/>
    </row>
    <row r="471" spans="2:10" x14ac:dyDescent="0.25">
      <c r="B471" s="559" t="s">
        <v>553</v>
      </c>
      <c r="C471" s="563">
        <f>SUM(C472:C474)</f>
        <v>1125745.615</v>
      </c>
      <c r="D471" s="563">
        <f>SUM(D472:D474)</f>
        <v>1126868.8629999999</v>
      </c>
      <c r="E471" s="560">
        <f t="shared" si="61"/>
        <v>-9.9678679292769523E-4</v>
      </c>
      <c r="G471" s="456" t="s">
        <v>320</v>
      </c>
      <c r="H471" s="551"/>
      <c r="I471" s="551"/>
      <c r="J471" s="183"/>
    </row>
    <row r="472" spans="2:10" ht="14.4" x14ac:dyDescent="0.3">
      <c r="B472" s="564" t="s">
        <v>554</v>
      </c>
      <c r="C472" s="565">
        <v>3904.4580000000001</v>
      </c>
      <c r="D472" s="565">
        <v>3904.4580000000001</v>
      </c>
      <c r="E472" s="566">
        <f t="shared" si="61"/>
        <v>0</v>
      </c>
      <c r="G472" s="461" t="s">
        <v>576</v>
      </c>
      <c r="H472" s="580">
        <v>61.555999999999997</v>
      </c>
      <c r="I472" s="580">
        <v>61.555999999999997</v>
      </c>
      <c r="J472" s="191">
        <f>H472/I472-1</f>
        <v>0</v>
      </c>
    </row>
    <row r="473" spans="2:10" ht="14.4" x14ac:dyDescent="0.3">
      <c r="B473" s="564" t="s">
        <v>555</v>
      </c>
      <c r="C473" s="565">
        <v>263528.489</v>
      </c>
      <c r="D473" s="565">
        <v>276041.19</v>
      </c>
      <c r="E473" s="566">
        <f t="shared" si="61"/>
        <v>-4.5329108311698008E-2</v>
      </c>
      <c r="G473" s="461"/>
      <c r="H473" s="551">
        <f>SUM(H472:H472)</f>
        <v>61.555999999999997</v>
      </c>
      <c r="I473" s="551">
        <f>SUM(I472:I472)</f>
        <v>61.555999999999997</v>
      </c>
      <c r="J473" s="183">
        <f>H473/I473-1</f>
        <v>0</v>
      </c>
    </row>
    <row r="474" spans="2:10" ht="14.4" x14ac:dyDescent="0.3">
      <c r="B474" s="564" t="s">
        <v>556</v>
      </c>
      <c r="C474" s="565">
        <v>858312.66799999995</v>
      </c>
      <c r="D474" s="565">
        <v>846923.21499999997</v>
      </c>
      <c r="E474" s="566">
        <f t="shared" si="61"/>
        <v>1.344803495556568E-2</v>
      </c>
      <c r="G474" s="456" t="s">
        <v>323</v>
      </c>
      <c r="H474" s="580"/>
      <c r="I474" s="580"/>
      <c r="J474" s="191"/>
    </row>
    <row r="475" spans="2:10" x14ac:dyDescent="0.25">
      <c r="B475" s="559" t="s">
        <v>557</v>
      </c>
      <c r="C475" s="563">
        <v>70316.245999999999</v>
      </c>
      <c r="D475" s="563">
        <v>79273.910999999993</v>
      </c>
      <c r="E475" s="560">
        <f t="shared" si="61"/>
        <v>-0.11299638036024229</v>
      </c>
      <c r="G475" s="461" t="s">
        <v>419</v>
      </c>
      <c r="H475" s="580">
        <v>197.577</v>
      </c>
      <c r="I475" s="580">
        <v>197.827</v>
      </c>
      <c r="J475" s="191"/>
    </row>
    <row r="476" spans="2:10" x14ac:dyDescent="0.25">
      <c r="B476" s="559" t="s">
        <v>346</v>
      </c>
      <c r="C476" s="563">
        <v>273.84100000000001</v>
      </c>
      <c r="D476" s="563">
        <v>115.014</v>
      </c>
      <c r="E476" s="560">
        <f t="shared" si="61"/>
        <v>1.3809362338497921</v>
      </c>
      <c r="G476" s="461" t="s">
        <v>577</v>
      </c>
      <c r="H476" s="580">
        <v>41.470999999999997</v>
      </c>
      <c r="I476" s="580">
        <v>13</v>
      </c>
      <c r="J476" s="191">
        <f t="shared" ref="J476:J481" si="62">H476/I476-1</f>
        <v>2.1900769230769228</v>
      </c>
    </row>
    <row r="477" spans="2:10" x14ac:dyDescent="0.25">
      <c r="B477" s="559" t="s">
        <v>348</v>
      </c>
      <c r="C477" s="563">
        <v>1718134.1540000001</v>
      </c>
      <c r="D477" s="563">
        <v>1802587.3810000001</v>
      </c>
      <c r="E477" s="560">
        <f t="shared" si="61"/>
        <v>-4.6851114065354693E-2</v>
      </c>
      <c r="G477" s="461" t="s">
        <v>528</v>
      </c>
      <c r="H477" s="580">
        <v>13.509</v>
      </c>
      <c r="I477" s="580">
        <v>14.584</v>
      </c>
      <c r="J477" s="191">
        <f t="shared" si="62"/>
        <v>-7.3710916072408095E-2</v>
      </c>
    </row>
    <row r="478" spans="2:10" x14ac:dyDescent="0.25">
      <c r="B478" s="559" t="s">
        <v>558</v>
      </c>
      <c r="C478" s="563">
        <v>1239951.33</v>
      </c>
      <c r="D478" s="563">
        <v>1137554.2080000001</v>
      </c>
      <c r="E478" s="560">
        <f t="shared" si="61"/>
        <v>9.0015158205102308E-2</v>
      </c>
      <c r="G478" s="461" t="s">
        <v>524</v>
      </c>
      <c r="H478" s="580">
        <v>567.54600000000005</v>
      </c>
      <c r="I478" s="580">
        <v>615.77300000000002</v>
      </c>
      <c r="J478" s="191">
        <f t="shared" si="62"/>
        <v>-7.8319445639870477E-2</v>
      </c>
    </row>
    <row r="479" spans="2:10" x14ac:dyDescent="0.25">
      <c r="B479" s="559" t="s">
        <v>353</v>
      </c>
      <c r="C479" s="563">
        <v>199923.17600000001</v>
      </c>
      <c r="D479" s="563">
        <v>203971.924</v>
      </c>
      <c r="E479" s="560">
        <f t="shared" si="61"/>
        <v>-1.9849535762578752E-2</v>
      </c>
      <c r="G479" s="461" t="s">
        <v>580</v>
      </c>
      <c r="H479" s="580">
        <v>124.736</v>
      </c>
      <c r="I479" s="580">
        <v>124.736</v>
      </c>
      <c r="J479" s="191">
        <f t="shared" si="62"/>
        <v>0</v>
      </c>
    </row>
    <row r="480" spans="2:10" x14ac:dyDescent="0.25">
      <c r="B480" s="559" t="s">
        <v>560</v>
      </c>
      <c r="C480" s="563">
        <v>29078.513999999999</v>
      </c>
      <c r="D480" s="563">
        <v>19573.603999999999</v>
      </c>
      <c r="E480" s="560">
        <f t="shared" si="61"/>
        <v>0.48559835991368794</v>
      </c>
      <c r="G480" s="461"/>
      <c r="H480" s="551">
        <f>SUM(H475:H479)</f>
        <v>944.83900000000006</v>
      </c>
      <c r="I480" s="551">
        <f>SUM(I475:I479)</f>
        <v>965.92</v>
      </c>
      <c r="J480" s="183">
        <f t="shared" si="62"/>
        <v>-2.1824788802385142E-2</v>
      </c>
    </row>
    <row r="481" spans="2:10" x14ac:dyDescent="0.25">
      <c r="B481" s="559" t="s">
        <v>292</v>
      </c>
      <c r="C481" s="563">
        <v>787.25300000000004</v>
      </c>
      <c r="D481" s="563">
        <v>3187.9369999999999</v>
      </c>
      <c r="E481" s="560">
        <f t="shared" si="61"/>
        <v>-0.75305252268159628</v>
      </c>
      <c r="G481" s="456" t="s">
        <v>300</v>
      </c>
      <c r="H481" s="551">
        <f>H473+H480</f>
        <v>1006.3950000000001</v>
      </c>
      <c r="I481" s="551">
        <f>I473+I480</f>
        <v>1027.4759999999999</v>
      </c>
      <c r="J481" s="183">
        <f t="shared" si="62"/>
        <v>-2.0517267556614205E-2</v>
      </c>
    </row>
    <row r="482" spans="2:10" x14ac:dyDescent="0.25">
      <c r="B482" s="567" t="s">
        <v>389</v>
      </c>
      <c r="C482" s="568">
        <f>SUM(C475:C481,C468:C471)</f>
        <v>5498222.2210000008</v>
      </c>
      <c r="D482" s="568">
        <f>SUM(D475:D481,D468:D471)</f>
        <v>5436034.9969999995</v>
      </c>
      <c r="E482" s="569">
        <f t="shared" si="61"/>
        <v>1.1439813031800083E-2</v>
      </c>
      <c r="G482" s="456"/>
      <c r="H482" s="551"/>
      <c r="I482" s="551"/>
      <c r="J482" s="183"/>
    </row>
    <row r="483" spans="2:10" x14ac:dyDescent="0.25">
      <c r="B483" s="559"/>
      <c r="C483" s="563"/>
      <c r="D483" s="563"/>
      <c r="E483" s="569"/>
      <c r="G483" s="456" t="s">
        <v>301</v>
      </c>
      <c r="H483" s="580"/>
      <c r="I483" s="580"/>
      <c r="J483" s="183"/>
    </row>
    <row r="484" spans="2:10" x14ac:dyDescent="0.25">
      <c r="B484" s="567" t="s">
        <v>294</v>
      </c>
      <c r="C484" s="563"/>
      <c r="D484" s="563"/>
      <c r="E484" s="569"/>
      <c r="G484" s="461" t="s">
        <v>583</v>
      </c>
      <c r="H484" s="580">
        <v>108.46599999999999</v>
      </c>
      <c r="I484" s="580">
        <v>108.46599999999999</v>
      </c>
      <c r="J484" s="191">
        <f>H484/I484-1</f>
        <v>0</v>
      </c>
    </row>
    <row r="485" spans="2:10" x14ac:dyDescent="0.25">
      <c r="B485" s="559" t="s">
        <v>359</v>
      </c>
      <c r="C485" s="563">
        <v>113237.636</v>
      </c>
      <c r="D485" s="563">
        <v>118027.576</v>
      </c>
      <c r="E485" s="560">
        <f t="shared" ref="E485:E492" si="63">C485/D485-1</f>
        <v>-4.0583227770432218E-2</v>
      </c>
      <c r="G485" s="461" t="s">
        <v>303</v>
      </c>
      <c r="H485" s="580">
        <v>380.00900000000001</v>
      </c>
      <c r="I485" s="580">
        <v>380.00900000000001</v>
      </c>
      <c r="J485" s="191">
        <f>H485/I485-1</f>
        <v>0</v>
      </c>
    </row>
    <row r="486" spans="2:10" x14ac:dyDescent="0.25">
      <c r="B486" s="559" t="s">
        <v>360</v>
      </c>
      <c r="C486" s="563">
        <v>4045287.4539999999</v>
      </c>
      <c r="D486" s="563">
        <v>4012305.554</v>
      </c>
      <c r="E486" s="560">
        <f t="shared" si="63"/>
        <v>8.2201865127442542E-3</v>
      </c>
      <c r="G486" s="461" t="s">
        <v>535</v>
      </c>
      <c r="H486" s="580">
        <v>1756.588</v>
      </c>
      <c r="I486" s="580">
        <v>1756.588</v>
      </c>
      <c r="J486" s="191">
        <f>H486/I486-1</f>
        <v>0</v>
      </c>
    </row>
    <row r="487" spans="2:10" ht="14.4" thickBot="1" x14ac:dyDescent="0.3">
      <c r="B487" s="559" t="s">
        <v>563</v>
      </c>
      <c r="C487" s="556">
        <v>1025.6030000000001</v>
      </c>
      <c r="D487" s="556">
        <v>1580.971</v>
      </c>
      <c r="E487" s="560">
        <f t="shared" si="63"/>
        <v>-0.35128285085558175</v>
      </c>
      <c r="G487" s="461" t="s">
        <v>585</v>
      </c>
      <c r="H487" s="580">
        <v>-974.24</v>
      </c>
      <c r="I487" s="580">
        <v>-937.21799999999996</v>
      </c>
      <c r="J487" s="191">
        <f>H487/I487-1</f>
        <v>3.9502015539607749E-2</v>
      </c>
    </row>
    <row r="488" spans="2:10" ht="14.4" thickBot="1" x14ac:dyDescent="0.3">
      <c r="B488" s="559" t="s">
        <v>299</v>
      </c>
      <c r="C488" s="556">
        <v>290311.12099999998</v>
      </c>
      <c r="D488" s="556">
        <v>231519.27100000001</v>
      </c>
      <c r="E488" s="560">
        <f t="shared" si="63"/>
        <v>0.25393933622052556</v>
      </c>
      <c r="G488" s="482" t="s">
        <v>305</v>
      </c>
      <c r="H488" s="588">
        <f>SUM(H484:H487)</f>
        <v>1270.8230000000001</v>
      </c>
      <c r="I488" s="588">
        <f>SUM(I484:I487)</f>
        <v>1307.8450000000003</v>
      </c>
      <c r="J488" s="187">
        <f>H488/I488-1</f>
        <v>-2.8307635843697221E-2</v>
      </c>
    </row>
    <row r="489" spans="2:10" ht="14.4" thickBot="1" x14ac:dyDescent="0.3">
      <c r="B489" s="559" t="s">
        <v>394</v>
      </c>
      <c r="C489" s="556">
        <v>27243.773000000001</v>
      </c>
      <c r="D489" s="556">
        <v>22676.168000000001</v>
      </c>
      <c r="E489" s="560">
        <f t="shared" si="63"/>
        <v>0.20142755160395698</v>
      </c>
      <c r="J489" s="24"/>
    </row>
    <row r="490" spans="2:10" x14ac:dyDescent="0.25">
      <c r="B490" s="559" t="s">
        <v>334</v>
      </c>
      <c r="C490" s="556">
        <v>107089.198</v>
      </c>
      <c r="D490" s="556">
        <v>153897.49900000001</v>
      </c>
      <c r="E490" s="560">
        <f t="shared" si="63"/>
        <v>-0.30415244759760518</v>
      </c>
      <c r="G490" s="706" t="s">
        <v>586</v>
      </c>
      <c r="H490" s="707"/>
      <c r="I490" s="707"/>
      <c r="J490" s="708"/>
    </row>
    <row r="491" spans="2:10" ht="14.4" thickBot="1" x14ac:dyDescent="0.3">
      <c r="B491" s="559" t="s">
        <v>321</v>
      </c>
      <c r="C491" s="556">
        <v>5268.6850000000004</v>
      </c>
      <c r="D491" s="556">
        <v>12800.866</v>
      </c>
      <c r="E491" s="560">
        <f t="shared" si="63"/>
        <v>-0.5884118308870665</v>
      </c>
      <c r="G491" s="709" t="s">
        <v>277</v>
      </c>
      <c r="H491" s="710"/>
      <c r="I491" s="710"/>
      <c r="J491" s="711"/>
    </row>
    <row r="492" spans="2:10" x14ac:dyDescent="0.25">
      <c r="B492" s="567" t="s">
        <v>460</v>
      </c>
      <c r="C492" s="568">
        <f>SUM(C485:C491)</f>
        <v>4589463.47</v>
      </c>
      <c r="D492" s="568">
        <f>SUM(D485:D491)</f>
        <v>4552807.9049999993</v>
      </c>
      <c r="E492" s="569">
        <f t="shared" si="63"/>
        <v>8.0511995596705965E-3</v>
      </c>
      <c r="G492" s="171"/>
      <c r="H492" s="172" t="s">
        <v>339</v>
      </c>
      <c r="I492" s="173" t="s">
        <v>284</v>
      </c>
      <c r="J492" s="172"/>
    </row>
    <row r="493" spans="2:10" ht="14.4" thickBot="1" x14ac:dyDescent="0.3">
      <c r="B493" s="567"/>
      <c r="C493" s="570"/>
      <c r="D493" s="570"/>
      <c r="E493" s="569"/>
      <c r="G493" s="174"/>
      <c r="H493" s="175" t="s">
        <v>278</v>
      </c>
      <c r="I493" s="176" t="s">
        <v>278</v>
      </c>
      <c r="J493" s="175"/>
    </row>
    <row r="494" spans="2:10" x14ac:dyDescent="0.25">
      <c r="B494" s="567" t="s">
        <v>301</v>
      </c>
      <c r="C494" s="571"/>
      <c r="D494" s="571"/>
      <c r="E494" s="569"/>
      <c r="G494" s="177"/>
      <c r="H494" s="178"/>
      <c r="I494" s="590"/>
      <c r="J494" s="179"/>
    </row>
    <row r="495" spans="2:10" x14ac:dyDescent="0.25">
      <c r="B495" s="559" t="s">
        <v>302</v>
      </c>
      <c r="C495" s="556">
        <v>14715.59</v>
      </c>
      <c r="D495" s="556">
        <v>14715.59</v>
      </c>
      <c r="E495" s="560">
        <f t="shared" ref="E495:E501" si="64">C495/D495-1</f>
        <v>0</v>
      </c>
      <c r="G495" s="180" t="s">
        <v>279</v>
      </c>
      <c r="H495" s="181">
        <v>191523</v>
      </c>
      <c r="I495" s="182">
        <v>157309</v>
      </c>
      <c r="J495" s="235">
        <f>H495/I495-1</f>
        <v>0.21749550248237548</v>
      </c>
    </row>
    <row r="496" spans="2:10" x14ac:dyDescent="0.25">
      <c r="B496" s="559" t="s">
        <v>303</v>
      </c>
      <c r="C496" s="556">
        <v>123471.114</v>
      </c>
      <c r="D496" s="556">
        <v>123471.114</v>
      </c>
      <c r="E496" s="560">
        <f t="shared" si="64"/>
        <v>0</v>
      </c>
      <c r="G496" s="180" t="s">
        <v>280</v>
      </c>
      <c r="H496" s="181">
        <v>67991</v>
      </c>
      <c r="I496" s="182">
        <v>61022</v>
      </c>
      <c r="J496" s="235">
        <f>H496/I496-1</f>
        <v>0.11420471305430824</v>
      </c>
    </row>
    <row r="497" spans="2:10" ht="14.4" thickBot="1" x14ac:dyDescent="0.3">
      <c r="B497" s="559" t="s">
        <v>463</v>
      </c>
      <c r="C497" s="556">
        <v>-8125.9979999999996</v>
      </c>
      <c r="D497" s="556">
        <v>-8125.9979999999996</v>
      </c>
      <c r="E497" s="560">
        <f t="shared" si="64"/>
        <v>0</v>
      </c>
      <c r="G497" s="184" t="s">
        <v>281</v>
      </c>
      <c r="H497" s="185">
        <v>-9793</v>
      </c>
      <c r="I497" s="186">
        <v>-7962</v>
      </c>
      <c r="J497" s="183"/>
    </row>
    <row r="498" spans="2:10" ht="14.4" thickBot="1" x14ac:dyDescent="0.3">
      <c r="B498" s="559" t="s">
        <v>327</v>
      </c>
      <c r="C498" s="556">
        <v>234131.96400000001</v>
      </c>
      <c r="D498" s="556">
        <v>198358.02499999999</v>
      </c>
      <c r="E498" s="560">
        <f t="shared" si="64"/>
        <v>0.18035034882001888</v>
      </c>
      <c r="G498" s="180" t="s">
        <v>282</v>
      </c>
      <c r="H498" s="193">
        <f>SUM(H496:H497)</f>
        <v>58198</v>
      </c>
      <c r="I498" s="193">
        <f>SUM(I496:I497)</f>
        <v>53060</v>
      </c>
      <c r="J498" s="242">
        <f>H498/I498-1</f>
        <v>9.6833773087071195E-2</v>
      </c>
    </row>
    <row r="499" spans="2:10" ht="14.4" thickBot="1" x14ac:dyDescent="0.3">
      <c r="B499" s="559" t="s">
        <v>494</v>
      </c>
      <c r="C499" s="556">
        <v>525662.33900000004</v>
      </c>
      <c r="D499" s="556">
        <v>535938.14500000002</v>
      </c>
      <c r="E499" s="560">
        <f t="shared" si="64"/>
        <v>-1.917349249324285E-2</v>
      </c>
      <c r="G499" s="188" t="s">
        <v>283</v>
      </c>
      <c r="H499" s="591"/>
      <c r="I499" s="592"/>
      <c r="J499" s="179"/>
    </row>
    <row r="500" spans="2:10" ht="14.4" thickBot="1" x14ac:dyDescent="0.3">
      <c r="B500" s="559" t="s">
        <v>369</v>
      </c>
      <c r="C500" s="556">
        <v>18903.722000000002</v>
      </c>
      <c r="D500" s="556">
        <v>18870.216</v>
      </c>
      <c r="E500" s="560">
        <f t="shared" si="64"/>
        <v>1.7756023566450896E-3</v>
      </c>
      <c r="G500" s="613"/>
      <c r="H500" s="571" t="s">
        <v>340</v>
      </c>
      <c r="I500" s="571" t="s">
        <v>284</v>
      </c>
      <c r="J500" s="183"/>
    </row>
    <row r="501" spans="2:10" ht="14.4" thickBot="1" x14ac:dyDescent="0.3">
      <c r="B501" s="572" t="s">
        <v>305</v>
      </c>
      <c r="C501" s="573">
        <f>SUM(C495:C500)</f>
        <v>908758.73100000003</v>
      </c>
      <c r="D501" s="573">
        <f>SUM(D495:D500)</f>
        <v>883227.09200000006</v>
      </c>
      <c r="E501" s="574">
        <f t="shared" si="64"/>
        <v>2.890721902810478E-2</v>
      </c>
      <c r="G501" s="189" t="s">
        <v>285</v>
      </c>
      <c r="H501" s="185"/>
      <c r="I501" s="185"/>
      <c r="J501" s="183"/>
    </row>
    <row r="502" spans="2:10" ht="14.4" thickBot="1" x14ac:dyDescent="0.3">
      <c r="E502" s="24"/>
      <c r="G502" s="190" t="s">
        <v>286</v>
      </c>
      <c r="H502" s="185">
        <v>1919775</v>
      </c>
      <c r="I502" s="185">
        <v>1488363</v>
      </c>
      <c r="J502" s="245">
        <f t="shared" ref="J502:J513" si="65">H502/I502-1</f>
        <v>0.28985670834332744</v>
      </c>
    </row>
    <row r="503" spans="2:10" x14ac:dyDescent="0.25">
      <c r="B503" s="724" t="s">
        <v>196</v>
      </c>
      <c r="C503" s="725"/>
      <c r="D503" s="725"/>
      <c r="E503" s="726"/>
      <c r="G503" s="190" t="s">
        <v>587</v>
      </c>
      <c r="H503" s="185">
        <v>1895054</v>
      </c>
      <c r="I503" s="185">
        <v>1764945</v>
      </c>
      <c r="J503" s="245">
        <f t="shared" si="65"/>
        <v>7.3718444484105694E-2</v>
      </c>
    </row>
    <row r="504" spans="2:10" ht="14.4" thickBot="1" x14ac:dyDescent="0.3">
      <c r="B504" s="727" t="s">
        <v>277</v>
      </c>
      <c r="C504" s="728"/>
      <c r="D504" s="728"/>
      <c r="E504" s="729"/>
      <c r="G504" s="190" t="s">
        <v>588</v>
      </c>
      <c r="H504" s="185">
        <v>339753</v>
      </c>
      <c r="I504" s="185">
        <v>392594</v>
      </c>
      <c r="J504" s="245">
        <f t="shared" si="65"/>
        <v>-0.13459451749135243</v>
      </c>
    </row>
    <row r="505" spans="2:10" x14ac:dyDescent="0.25">
      <c r="B505" s="194"/>
      <c r="C505" s="195">
        <v>2022</v>
      </c>
      <c r="D505" s="195">
        <v>2021</v>
      </c>
      <c r="E505" s="196"/>
      <c r="G505" s="190" t="s">
        <v>589</v>
      </c>
      <c r="H505" s="185">
        <v>819190</v>
      </c>
      <c r="I505" s="185">
        <v>691244</v>
      </c>
      <c r="J505" s="245">
        <f t="shared" si="65"/>
        <v>0.18509527749969612</v>
      </c>
    </row>
    <row r="506" spans="2:10" ht="14.4" thickBot="1" x14ac:dyDescent="0.3">
      <c r="B506" s="197"/>
      <c r="C506" s="198" t="s">
        <v>278</v>
      </c>
      <c r="D506" s="198" t="s">
        <v>278</v>
      </c>
      <c r="E506" s="199"/>
      <c r="G506" s="190" t="s">
        <v>288</v>
      </c>
      <c r="H506" s="185">
        <v>19270</v>
      </c>
      <c r="I506" s="185">
        <v>56187</v>
      </c>
      <c r="J506" s="245">
        <f t="shared" si="65"/>
        <v>-0.65703810489970982</v>
      </c>
    </row>
    <row r="507" spans="2:10" x14ac:dyDescent="0.25">
      <c r="B507" s="200"/>
      <c r="C507" s="575"/>
      <c r="D507" s="575"/>
      <c r="E507" s="207"/>
      <c r="G507" s="190" t="s">
        <v>590</v>
      </c>
      <c r="H507" s="185">
        <v>3552623</v>
      </c>
      <c r="I507" s="185">
        <v>3355728</v>
      </c>
      <c r="J507" s="245">
        <f t="shared" si="65"/>
        <v>5.8674302565642877E-2</v>
      </c>
    </row>
    <row r="508" spans="2:10" x14ac:dyDescent="0.25">
      <c r="B508" s="202" t="s">
        <v>306</v>
      </c>
      <c r="C508" s="576">
        <v>3320.7080000000001</v>
      </c>
      <c r="D508" s="576">
        <v>1724.3309999999999</v>
      </c>
      <c r="E508" s="210">
        <f>C508/D508-1</f>
        <v>0.9257949894770785</v>
      </c>
      <c r="G508" s="190" t="s">
        <v>330</v>
      </c>
      <c r="H508" s="185">
        <v>1298901</v>
      </c>
      <c r="I508" s="185">
        <v>1303726</v>
      </c>
      <c r="J508" s="245">
        <f t="shared" si="65"/>
        <v>-3.7009310238500515E-3</v>
      </c>
    </row>
    <row r="509" spans="2:10" x14ac:dyDescent="0.25">
      <c r="B509" s="204" t="s">
        <v>307</v>
      </c>
      <c r="C509" s="579">
        <v>-2262.8200000000002</v>
      </c>
      <c r="D509" s="579">
        <v>-1419.479</v>
      </c>
      <c r="E509" s="210"/>
      <c r="G509" s="190" t="s">
        <v>292</v>
      </c>
      <c r="H509" s="185">
        <v>0</v>
      </c>
      <c r="I509" s="185">
        <v>1837</v>
      </c>
      <c r="J509" s="245">
        <f t="shared" si="65"/>
        <v>-1</v>
      </c>
    </row>
    <row r="510" spans="2:10" x14ac:dyDescent="0.25">
      <c r="B510" s="202" t="s">
        <v>308</v>
      </c>
      <c r="C510" s="576">
        <v>160.79599999999994</v>
      </c>
      <c r="D510" s="576">
        <v>-290.58400000000017</v>
      </c>
      <c r="E510" s="210">
        <f>-(C510/D510-1)</f>
        <v>1.553354623792087</v>
      </c>
      <c r="G510" s="190" t="s">
        <v>352</v>
      </c>
      <c r="H510" s="185">
        <v>254255</v>
      </c>
      <c r="I510" s="185">
        <v>168210</v>
      </c>
      <c r="J510" s="245">
        <f t="shared" si="65"/>
        <v>0.51153320254443857</v>
      </c>
    </row>
    <row r="511" spans="2:10" ht="14.4" thickBot="1" x14ac:dyDescent="0.3">
      <c r="B511" s="204" t="s">
        <v>281</v>
      </c>
      <c r="C511" s="579">
        <v>-46.969000000000001</v>
      </c>
      <c r="D511" s="579">
        <v>-4.3010000000000002</v>
      </c>
      <c r="E511" s="210"/>
      <c r="G511" s="190" t="s">
        <v>290</v>
      </c>
      <c r="H511" s="185">
        <v>201144</v>
      </c>
      <c r="I511" s="185">
        <v>200008</v>
      </c>
      <c r="J511" s="245">
        <f t="shared" si="65"/>
        <v>5.6797728090876021E-3</v>
      </c>
    </row>
    <row r="512" spans="2:10" ht="14.4" thickBot="1" x14ac:dyDescent="0.3">
      <c r="B512" s="202" t="s">
        <v>309</v>
      </c>
      <c r="C512" s="581">
        <v>113.82699999999994</v>
      </c>
      <c r="D512" s="581">
        <v>-294.88500000000016</v>
      </c>
      <c r="E512" s="205">
        <f>-(C512/D512-1)</f>
        <v>1.3860047137019511</v>
      </c>
      <c r="G512" s="190" t="s">
        <v>291</v>
      </c>
      <c r="H512" s="185">
        <v>24304</v>
      </c>
      <c r="I512" s="185">
        <v>25001</v>
      </c>
      <c r="J512" s="245">
        <f t="shared" si="65"/>
        <v>-2.7878884844606211E-2</v>
      </c>
    </row>
    <row r="513" spans="2:10" ht="14.4" thickBot="1" x14ac:dyDescent="0.3">
      <c r="B513" s="678" t="s">
        <v>283</v>
      </c>
      <c r="C513" s="582"/>
      <c r="D513" s="582"/>
      <c r="E513" s="210"/>
      <c r="G513" s="189" t="s">
        <v>293</v>
      </c>
      <c r="H513" s="181">
        <f>SUM(H502:H512)</f>
        <v>10324269</v>
      </c>
      <c r="I513" s="181">
        <f>SUM(I502:I512)</f>
        <v>9447843</v>
      </c>
      <c r="J513" s="235">
        <f t="shared" si="65"/>
        <v>9.2764665966612592E-2</v>
      </c>
    </row>
    <row r="514" spans="2:10" x14ac:dyDescent="0.25">
      <c r="B514" s="208" t="s">
        <v>285</v>
      </c>
      <c r="C514" s="551" t="s">
        <v>340</v>
      </c>
      <c r="D514" s="552" t="s">
        <v>284</v>
      </c>
      <c r="E514" s="210"/>
      <c r="G514" s="189"/>
      <c r="H514" s="181"/>
      <c r="I514" s="181"/>
      <c r="J514" s="183"/>
    </row>
    <row r="515" spans="2:10" x14ac:dyDescent="0.25">
      <c r="B515" s="208" t="s">
        <v>311</v>
      </c>
      <c r="C515" s="579"/>
      <c r="D515" s="579"/>
      <c r="E515" s="210"/>
      <c r="G515" s="189" t="s">
        <v>294</v>
      </c>
      <c r="H515" s="181"/>
      <c r="I515" s="181"/>
      <c r="J515" s="183"/>
    </row>
    <row r="516" spans="2:10" x14ac:dyDescent="0.25">
      <c r="B516" s="585" t="s">
        <v>569</v>
      </c>
      <c r="C516" s="211">
        <v>17609.511999999999</v>
      </c>
      <c r="D516" s="211">
        <v>17791.198</v>
      </c>
      <c r="E516" s="212">
        <f>C516/D516-1</f>
        <v>-1.0212128491853156E-2</v>
      </c>
      <c r="G516" s="190" t="s">
        <v>591</v>
      </c>
      <c r="H516" s="185">
        <v>7253795</v>
      </c>
      <c r="I516" s="185">
        <v>6472054</v>
      </c>
      <c r="J516" s="245">
        <f t="shared" ref="J516:J519" si="66">H516/I516-1</f>
        <v>0.12078715659665384</v>
      </c>
    </row>
    <row r="517" spans="2:10" x14ac:dyDescent="0.25">
      <c r="B517" s="585" t="s">
        <v>570</v>
      </c>
      <c r="C517" s="211">
        <v>5490.8710000000001</v>
      </c>
      <c r="D517" s="211">
        <v>5163.4579999999996</v>
      </c>
      <c r="E517" s="212">
        <f>C517/D517-1</f>
        <v>6.3409637494872717E-2</v>
      </c>
      <c r="G517" s="190" t="s">
        <v>296</v>
      </c>
      <c r="H517" s="185">
        <v>12354</v>
      </c>
      <c r="I517" s="185">
        <v>14674</v>
      </c>
      <c r="J517" s="245">
        <f t="shared" si="66"/>
        <v>-0.15810276679841895</v>
      </c>
    </row>
    <row r="518" spans="2:10" x14ac:dyDescent="0.25">
      <c r="B518" s="585" t="s">
        <v>571</v>
      </c>
      <c r="C518" s="211">
        <v>4414.0730000000003</v>
      </c>
      <c r="D518" s="211">
        <v>4487.1490000000003</v>
      </c>
      <c r="E518" s="212">
        <f>C518/D518-1</f>
        <v>-1.6285619220578584E-2</v>
      </c>
      <c r="G518" s="190" t="s">
        <v>592</v>
      </c>
      <c r="H518" s="185">
        <v>26779</v>
      </c>
      <c r="I518" s="185">
        <v>16909</v>
      </c>
      <c r="J518" s="245">
        <f t="shared" si="66"/>
        <v>0.58371281566029931</v>
      </c>
    </row>
    <row r="519" spans="2:10" x14ac:dyDescent="0.25">
      <c r="B519" s="587" t="s">
        <v>313</v>
      </c>
      <c r="C519" s="213">
        <f>SUM(C516:C518)</f>
        <v>27514.455999999998</v>
      </c>
      <c r="D519" s="213">
        <f>SUM(D516:D518)</f>
        <v>27441.805</v>
      </c>
      <c r="E519" s="210">
        <f>C519/D519-1</f>
        <v>2.6474570459193991E-3</v>
      </c>
      <c r="G519" s="190" t="s">
        <v>321</v>
      </c>
      <c r="H519" s="185">
        <v>6893</v>
      </c>
      <c r="I519" s="185">
        <v>11603</v>
      </c>
      <c r="J519" s="245">
        <f t="shared" si="66"/>
        <v>-0.40592950099112302</v>
      </c>
    </row>
    <row r="520" spans="2:10" x14ac:dyDescent="0.25">
      <c r="B520" s="585"/>
      <c r="C520" s="213"/>
      <c r="D520" s="213"/>
      <c r="E520" s="210"/>
      <c r="G520" s="190" t="s">
        <v>299</v>
      </c>
      <c r="H520" s="185">
        <v>636462</v>
      </c>
      <c r="I520" s="185">
        <v>487432</v>
      </c>
      <c r="J520" s="245">
        <f t="shared" ref="J520:J524" si="67">H520/I520-1</f>
        <v>0.30574521163977741</v>
      </c>
    </row>
    <row r="521" spans="2:10" x14ac:dyDescent="0.25">
      <c r="B521" s="587" t="s">
        <v>314</v>
      </c>
      <c r="C521" s="211"/>
      <c r="D521" s="211"/>
      <c r="E521" s="212"/>
      <c r="G521" s="190" t="s">
        <v>362</v>
      </c>
      <c r="H521" s="185">
        <v>360507</v>
      </c>
      <c r="I521" s="185">
        <v>369241</v>
      </c>
      <c r="J521" s="245">
        <f t="shared" si="67"/>
        <v>-2.3653927922413831E-2</v>
      </c>
    </row>
    <row r="522" spans="2:10" x14ac:dyDescent="0.25">
      <c r="B522" s="585" t="s">
        <v>315</v>
      </c>
      <c r="C522" s="211">
        <v>269.52999999999997</v>
      </c>
      <c r="D522" s="211">
        <v>247.297</v>
      </c>
      <c r="E522" s="212">
        <f t="shared" ref="E522:E528" si="68">C522/D522-1</f>
        <v>8.9904042507592097E-2</v>
      </c>
      <c r="G522" s="190" t="s">
        <v>593</v>
      </c>
      <c r="H522" s="185">
        <v>651309</v>
      </c>
      <c r="I522" s="185">
        <v>750469</v>
      </c>
      <c r="J522" s="245">
        <f t="shared" si="67"/>
        <v>-0.13213070759751566</v>
      </c>
    </row>
    <row r="523" spans="2:10" x14ac:dyDescent="0.25">
      <c r="B523" s="585" t="s">
        <v>500</v>
      </c>
      <c r="C523" s="211">
        <v>1466.0250000000001</v>
      </c>
      <c r="D523" s="211">
        <v>1083.143</v>
      </c>
      <c r="E523" s="212">
        <f t="shared" si="68"/>
        <v>0.35349164422426216</v>
      </c>
      <c r="G523" s="190" t="s">
        <v>297</v>
      </c>
      <c r="H523" s="185">
        <v>45773</v>
      </c>
      <c r="I523" s="185">
        <v>45799</v>
      </c>
      <c r="J523" s="245">
        <f t="shared" si="67"/>
        <v>-5.6769798467215526E-4</v>
      </c>
    </row>
    <row r="524" spans="2:10" x14ac:dyDescent="0.25">
      <c r="B524" s="585" t="s">
        <v>352</v>
      </c>
      <c r="C524" s="211">
        <v>995.12</v>
      </c>
      <c r="D524" s="211">
        <v>822.10799999999995</v>
      </c>
      <c r="E524" s="212">
        <f t="shared" si="68"/>
        <v>0.2104492353802665</v>
      </c>
      <c r="G524" s="189" t="s">
        <v>300</v>
      </c>
      <c r="H524" s="181">
        <f>SUM(H516:H523)</f>
        <v>8993872</v>
      </c>
      <c r="I524" s="181">
        <f>SUM(I516:I523)</f>
        <v>8168181</v>
      </c>
      <c r="J524" s="235">
        <f t="shared" si="67"/>
        <v>0.10108627612439047</v>
      </c>
    </row>
    <row r="525" spans="2:10" x14ac:dyDescent="0.25">
      <c r="B525" s="585" t="s">
        <v>575</v>
      </c>
      <c r="C525" s="211">
        <v>9409.9269999999997</v>
      </c>
      <c r="D525" s="211">
        <v>9409.9269999999997</v>
      </c>
      <c r="E525" s="212">
        <f t="shared" si="68"/>
        <v>0</v>
      </c>
      <c r="G525" s="189"/>
      <c r="H525" s="181"/>
      <c r="I525" s="181"/>
      <c r="J525" s="183"/>
    </row>
    <row r="526" spans="2:10" x14ac:dyDescent="0.25">
      <c r="B526" s="585" t="s">
        <v>317</v>
      </c>
      <c r="C526" s="211">
        <v>5301.1229999999996</v>
      </c>
      <c r="D526" s="211">
        <v>4844.0190000000002</v>
      </c>
      <c r="E526" s="212">
        <f t="shared" si="68"/>
        <v>9.4364617479824053E-2</v>
      </c>
      <c r="G526" s="189" t="s">
        <v>301</v>
      </c>
      <c r="H526" s="181"/>
      <c r="I526" s="181"/>
      <c r="J526" s="183"/>
    </row>
    <row r="527" spans="2:10" x14ac:dyDescent="0.25">
      <c r="B527" s="587" t="s">
        <v>318</v>
      </c>
      <c r="C527" s="213">
        <f>SUM(C522:C526)</f>
        <v>17441.724999999999</v>
      </c>
      <c r="D527" s="213">
        <f>SUM(D522:D526)</f>
        <v>16406.493999999999</v>
      </c>
      <c r="E527" s="210">
        <f t="shared" si="68"/>
        <v>6.3098855855492353E-2</v>
      </c>
      <c r="G527" s="190" t="s">
        <v>302</v>
      </c>
      <c r="H527" s="185">
        <v>15698</v>
      </c>
      <c r="I527" s="185">
        <v>15698</v>
      </c>
      <c r="J527" s="235">
        <f t="shared" ref="J527:J532" si="69">H527/I527-1</f>
        <v>0</v>
      </c>
    </row>
    <row r="528" spans="2:10" x14ac:dyDescent="0.25">
      <c r="B528" s="587" t="s">
        <v>319</v>
      </c>
      <c r="C528" s="213">
        <f>C527+C519</f>
        <v>44956.180999999997</v>
      </c>
      <c r="D528" s="213">
        <f>D527+D519</f>
        <v>43848.298999999999</v>
      </c>
      <c r="E528" s="210">
        <f t="shared" si="68"/>
        <v>2.5266248070421105E-2</v>
      </c>
      <c r="G528" s="190" t="s">
        <v>303</v>
      </c>
      <c r="H528" s="185">
        <v>255047</v>
      </c>
      <c r="I528" s="185">
        <v>255047</v>
      </c>
      <c r="J528" s="235">
        <f t="shared" si="69"/>
        <v>0</v>
      </c>
    </row>
    <row r="529" spans="2:10" x14ac:dyDescent="0.25">
      <c r="B529" s="587"/>
      <c r="C529" s="213"/>
      <c r="D529" s="213"/>
      <c r="E529" s="210"/>
      <c r="G529" s="190" t="s">
        <v>327</v>
      </c>
      <c r="H529" s="185">
        <v>657665</v>
      </c>
      <c r="I529" s="185">
        <v>607203</v>
      </c>
      <c r="J529" s="235">
        <f t="shared" si="69"/>
        <v>8.3105650005023124E-2</v>
      </c>
    </row>
    <row r="530" spans="2:10" x14ac:dyDescent="0.25">
      <c r="B530" s="587" t="s">
        <v>294</v>
      </c>
      <c r="C530" s="213"/>
      <c r="D530" s="213"/>
      <c r="E530" s="210"/>
      <c r="G530" s="190" t="s">
        <v>594</v>
      </c>
      <c r="H530" s="185">
        <v>400810</v>
      </c>
      <c r="I530" s="185">
        <v>400570</v>
      </c>
      <c r="J530" s="235">
        <f t="shared" si="69"/>
        <v>5.9914621664125534E-4</v>
      </c>
    </row>
    <row r="531" spans="2:10" ht="14.4" thickBot="1" x14ac:dyDescent="0.3">
      <c r="B531" s="587" t="s">
        <v>323</v>
      </c>
      <c r="C531" s="213"/>
      <c r="D531" s="213"/>
      <c r="E531" s="210"/>
      <c r="G531" s="190" t="s">
        <v>304</v>
      </c>
      <c r="H531" s="185">
        <v>1177</v>
      </c>
      <c r="I531" s="185">
        <v>1144</v>
      </c>
      <c r="J531" s="235">
        <f t="shared" si="69"/>
        <v>2.8846153846153744E-2</v>
      </c>
    </row>
    <row r="532" spans="2:10" ht="14.4" thickBot="1" x14ac:dyDescent="0.3">
      <c r="B532" s="585" t="s">
        <v>325</v>
      </c>
      <c r="C532" s="211">
        <v>3891.2510000000002</v>
      </c>
      <c r="D532" s="211">
        <v>3961.2890000000002</v>
      </c>
      <c r="E532" s="212">
        <f t="shared" ref="E532:E537" si="70">C532/D532-1</f>
        <v>-1.7680608508997997E-2</v>
      </c>
      <c r="G532" s="192" t="s">
        <v>305</v>
      </c>
      <c r="H532" s="193">
        <f>SUM(H527:H531)</f>
        <v>1330397</v>
      </c>
      <c r="I532" s="193">
        <f>SUM(I527:I531)</f>
        <v>1279662</v>
      </c>
      <c r="J532" s="242">
        <f t="shared" si="69"/>
        <v>3.9647188085603746E-2</v>
      </c>
    </row>
    <row r="533" spans="2:10" ht="14.4" thickBot="1" x14ac:dyDescent="0.3">
      <c r="B533" s="585" t="s">
        <v>430</v>
      </c>
      <c r="C533" s="211">
        <v>8244.6540000000005</v>
      </c>
      <c r="D533" s="211">
        <v>8241.6180000000004</v>
      </c>
      <c r="E533" s="212">
        <f t="shared" si="70"/>
        <v>3.6837426825653274E-4</v>
      </c>
    </row>
    <row r="534" spans="2:10" x14ac:dyDescent="0.25">
      <c r="B534" s="585" t="s">
        <v>578</v>
      </c>
      <c r="C534" s="211">
        <v>413.279</v>
      </c>
      <c r="D534" s="211">
        <v>93.6</v>
      </c>
      <c r="E534" s="212">
        <f t="shared" si="70"/>
        <v>3.4153739316239315</v>
      </c>
      <c r="G534" s="714" t="s">
        <v>605</v>
      </c>
      <c r="H534" s="714"/>
      <c r="I534" s="714"/>
      <c r="J534" s="715"/>
    </row>
    <row r="535" spans="2:10" ht="14.4" thickBot="1" x14ac:dyDescent="0.3">
      <c r="B535" s="585" t="s">
        <v>579</v>
      </c>
      <c r="C535" s="211">
        <v>105.96</v>
      </c>
      <c r="D535" s="211">
        <v>105.96</v>
      </c>
      <c r="E535" s="212">
        <f t="shared" si="70"/>
        <v>0</v>
      </c>
      <c r="G535" s="716" t="s">
        <v>606</v>
      </c>
      <c r="H535" s="716"/>
      <c r="I535" s="716"/>
      <c r="J535" s="717"/>
    </row>
    <row r="536" spans="2:10" x14ac:dyDescent="0.25">
      <c r="B536" s="585" t="s">
        <v>566</v>
      </c>
      <c r="C536" s="211">
        <v>722.88499999999999</v>
      </c>
      <c r="D536" s="211">
        <v>637.43799999999999</v>
      </c>
      <c r="E536" s="212">
        <f t="shared" si="70"/>
        <v>0.13404754658492268</v>
      </c>
      <c r="G536" s="614"/>
      <c r="H536" s="615">
        <v>2022</v>
      </c>
      <c r="I536" s="615">
        <v>2021</v>
      </c>
      <c r="J536" s="616"/>
    </row>
    <row r="537" spans="2:10" ht="14.4" thickBot="1" x14ac:dyDescent="0.3">
      <c r="B537" s="587" t="s">
        <v>581</v>
      </c>
      <c r="C537" s="213">
        <f>SUM(C532:C536)</f>
        <v>13378.029</v>
      </c>
      <c r="D537" s="213">
        <f>SUM(D532:D536)</f>
        <v>13039.905000000001</v>
      </c>
      <c r="E537" s="210">
        <f t="shared" si="70"/>
        <v>2.5929943508024023E-2</v>
      </c>
      <c r="G537" s="617"/>
      <c r="H537" s="618" t="s">
        <v>278</v>
      </c>
      <c r="I537" s="618" t="s">
        <v>278</v>
      </c>
      <c r="J537" s="619"/>
    </row>
    <row r="538" spans="2:10" x14ac:dyDescent="0.25">
      <c r="B538" s="585"/>
      <c r="C538" s="213"/>
      <c r="D538" s="213"/>
      <c r="E538" s="210"/>
      <c r="G538" s="620"/>
      <c r="H538" s="621"/>
      <c r="I538" s="621"/>
      <c r="J538" s="622"/>
    </row>
    <row r="539" spans="2:10" x14ac:dyDescent="0.25">
      <c r="B539" s="587" t="s">
        <v>320</v>
      </c>
      <c r="C539" s="211"/>
      <c r="D539" s="211"/>
      <c r="E539" s="212"/>
      <c r="G539" s="234" t="s">
        <v>279</v>
      </c>
      <c r="H539" s="247">
        <v>43041</v>
      </c>
      <c r="I539" s="247">
        <v>36437</v>
      </c>
      <c r="J539" s="419">
        <f>H539/I539-1</f>
        <v>0.1812443395449681</v>
      </c>
    </row>
    <row r="540" spans="2:10" x14ac:dyDescent="0.25">
      <c r="B540" s="585" t="s">
        <v>582</v>
      </c>
      <c r="C540" s="211">
        <v>9094.8050000000003</v>
      </c>
      <c r="D540" s="211">
        <v>8833.5540000000001</v>
      </c>
      <c r="E540" s="212">
        <f>C540/D540-1</f>
        <v>2.9574846092524032E-2</v>
      </c>
      <c r="G540" s="234" t="s">
        <v>308</v>
      </c>
      <c r="H540" s="247">
        <v>6433</v>
      </c>
      <c r="I540" s="247">
        <v>7035</v>
      </c>
      <c r="J540" s="419">
        <f>H540/I540-1</f>
        <v>-8.5572139303482619E-2</v>
      </c>
    </row>
    <row r="541" spans="2:10" ht="14.4" thickBot="1" x14ac:dyDescent="0.3">
      <c r="B541" s="585" t="s">
        <v>419</v>
      </c>
      <c r="C541" s="211">
        <v>852.45500000000004</v>
      </c>
      <c r="D541" s="211">
        <v>454.86399999999998</v>
      </c>
      <c r="E541" s="212">
        <f>C541/D541-1</f>
        <v>0.87408763938232115</v>
      </c>
      <c r="G541" s="238" t="s">
        <v>281</v>
      </c>
      <c r="H541" s="276">
        <v>-286</v>
      </c>
      <c r="I541" s="276">
        <v>-251</v>
      </c>
      <c r="J541" s="419"/>
    </row>
    <row r="542" spans="2:10" ht="14.4" thickBot="1" x14ac:dyDescent="0.3">
      <c r="B542" s="585" t="s">
        <v>445</v>
      </c>
      <c r="C542" s="211">
        <v>758.14599999999996</v>
      </c>
      <c r="D542" s="211">
        <v>758.14599999999996</v>
      </c>
      <c r="E542" s="212">
        <f>C542/D542-1</f>
        <v>0</v>
      </c>
      <c r="G542" s="234" t="s">
        <v>427</v>
      </c>
      <c r="H542" s="282">
        <f>SUM(H540:H541)</f>
        <v>6147</v>
      </c>
      <c r="I542" s="623">
        <f>SUM(I540:I541)</f>
        <v>6784</v>
      </c>
      <c r="J542" s="624">
        <f>H542/I542-1</f>
        <v>-9.3897405660377409E-2</v>
      </c>
    </row>
    <row r="543" spans="2:10" ht="14.4" thickBot="1" x14ac:dyDescent="0.3">
      <c r="B543" s="587" t="s">
        <v>584</v>
      </c>
      <c r="C543" s="213">
        <f>SUM(C540:C542)</f>
        <v>10705.406000000001</v>
      </c>
      <c r="D543" s="213">
        <f>SUM(D540:D542)</f>
        <v>10046.564</v>
      </c>
      <c r="E543" s="210">
        <f>C543/D543-1</f>
        <v>6.5578838695498298E-2</v>
      </c>
      <c r="G543" s="244" t="s">
        <v>283</v>
      </c>
      <c r="H543" s="625"/>
      <c r="I543" s="625"/>
      <c r="J543" s="419"/>
    </row>
    <row r="544" spans="2:10" x14ac:dyDescent="0.25">
      <c r="B544" s="587" t="s">
        <v>300</v>
      </c>
      <c r="C544" s="213">
        <f>C543+C537</f>
        <v>24083.435000000001</v>
      </c>
      <c r="D544" s="213">
        <f>D543+D537</f>
        <v>23086.469000000001</v>
      </c>
      <c r="E544" s="210">
        <f>C544/D544-1</f>
        <v>4.3183996651891654E-2</v>
      </c>
      <c r="G544" s="248"/>
      <c r="H544" s="571" t="s">
        <v>340</v>
      </c>
      <c r="I544" s="571" t="s">
        <v>284</v>
      </c>
      <c r="J544" s="419"/>
    </row>
    <row r="545" spans="2:10" x14ac:dyDescent="0.25">
      <c r="B545" s="587"/>
      <c r="C545" s="213"/>
      <c r="D545" s="213"/>
      <c r="E545" s="210"/>
      <c r="G545" s="248" t="s">
        <v>285</v>
      </c>
      <c r="H545" s="625"/>
      <c r="I545" s="625"/>
      <c r="J545" s="419"/>
    </row>
    <row r="546" spans="2:10" x14ac:dyDescent="0.25">
      <c r="B546" s="587" t="s">
        <v>301</v>
      </c>
      <c r="C546" s="211"/>
      <c r="D546" s="211"/>
      <c r="E546" s="210"/>
      <c r="G546" s="250" t="s">
        <v>428</v>
      </c>
      <c r="H546" s="625">
        <v>343629</v>
      </c>
      <c r="I546" s="625">
        <v>407143</v>
      </c>
      <c r="J546" s="422">
        <f t="shared" ref="J546:J559" si="71">H546/I546-1</f>
        <v>-0.15599924350903738</v>
      </c>
    </row>
    <row r="547" spans="2:10" x14ac:dyDescent="0.25">
      <c r="B547" s="585" t="s">
        <v>302</v>
      </c>
      <c r="C547" s="211">
        <v>1039.3979999999999</v>
      </c>
      <c r="D547" s="211">
        <v>1039.3969999999999</v>
      </c>
      <c r="E547" s="212">
        <f t="shared" ref="E547:E552" si="72">C547/D547-1</f>
        <v>9.6209629241172934E-7</v>
      </c>
      <c r="G547" s="250" t="s">
        <v>342</v>
      </c>
      <c r="H547" s="625">
        <v>12005</v>
      </c>
      <c r="I547" s="625">
        <v>1485</v>
      </c>
      <c r="J547" s="422">
        <f t="shared" si="71"/>
        <v>7.0841750841750848</v>
      </c>
    </row>
    <row r="548" spans="2:10" x14ac:dyDescent="0.25">
      <c r="B548" s="585" t="s">
        <v>303</v>
      </c>
      <c r="C548" s="211">
        <v>1381.0719999999999</v>
      </c>
      <c r="D548" s="211">
        <v>1381.0719999999999</v>
      </c>
      <c r="E548" s="212">
        <f t="shared" si="72"/>
        <v>0</v>
      </c>
      <c r="G548" s="250" t="s">
        <v>287</v>
      </c>
      <c r="H548" s="625">
        <v>113243</v>
      </c>
      <c r="I548" s="625">
        <v>110226</v>
      </c>
      <c r="J548" s="422">
        <f t="shared" si="71"/>
        <v>2.737103768620841E-2</v>
      </c>
    </row>
    <row r="549" spans="2:10" x14ac:dyDescent="0.25">
      <c r="B549" s="585" t="s">
        <v>327</v>
      </c>
      <c r="C549" s="211">
        <v>6515.5590000000002</v>
      </c>
      <c r="D549" s="211">
        <v>6413.223</v>
      </c>
      <c r="E549" s="212">
        <f t="shared" si="72"/>
        <v>1.5957031277409328E-2</v>
      </c>
      <c r="G549" s="250" t="s">
        <v>607</v>
      </c>
      <c r="H549" s="625">
        <v>13445</v>
      </c>
      <c r="I549" s="625">
        <v>9640</v>
      </c>
      <c r="J549" s="422">
        <f t="shared" si="71"/>
        <v>0.39470954356846466</v>
      </c>
    </row>
    <row r="550" spans="2:10" x14ac:dyDescent="0.25">
      <c r="B550" s="585" t="s">
        <v>535</v>
      </c>
      <c r="C550" s="211">
        <v>3121.799</v>
      </c>
      <c r="D550" s="211">
        <v>3121.799</v>
      </c>
      <c r="E550" s="212">
        <f t="shared" si="72"/>
        <v>0</v>
      </c>
      <c r="G550" s="250" t="s">
        <v>608</v>
      </c>
      <c r="H550" s="625">
        <v>853183</v>
      </c>
      <c r="I550" s="625">
        <v>868840</v>
      </c>
      <c r="J550" s="422">
        <f t="shared" si="71"/>
        <v>-1.802057916302191E-2</v>
      </c>
    </row>
    <row r="551" spans="2:10" ht="14.4" thickBot="1" x14ac:dyDescent="0.3">
      <c r="B551" s="585" t="s">
        <v>467</v>
      </c>
      <c r="C551" s="211">
        <v>8814.92</v>
      </c>
      <c r="D551" s="211">
        <v>8806.4279999999999</v>
      </c>
      <c r="E551" s="212">
        <f t="shared" si="72"/>
        <v>9.6429562587685425E-4</v>
      </c>
      <c r="G551" s="250" t="s">
        <v>482</v>
      </c>
      <c r="H551" s="625">
        <v>347040</v>
      </c>
      <c r="I551" s="625">
        <v>387508</v>
      </c>
      <c r="J551" s="422">
        <f t="shared" si="71"/>
        <v>-0.10443139238415722</v>
      </c>
    </row>
    <row r="552" spans="2:10" ht="14.4" thickBot="1" x14ac:dyDescent="0.3">
      <c r="B552" s="589" t="s">
        <v>305</v>
      </c>
      <c r="C552" s="398">
        <f>SUM(C547:C551)</f>
        <v>20872.748</v>
      </c>
      <c r="D552" s="398">
        <f>SUM(D547:D551)</f>
        <v>20761.918999999998</v>
      </c>
      <c r="E552" s="205">
        <f t="shared" si="72"/>
        <v>5.3380903759427945E-3</v>
      </c>
      <c r="G552" s="250" t="s">
        <v>609</v>
      </c>
      <c r="H552" s="625">
        <v>187</v>
      </c>
      <c r="I552" s="625">
        <v>187</v>
      </c>
      <c r="J552" s="422">
        <f t="shared" si="71"/>
        <v>0</v>
      </c>
    </row>
    <row r="553" spans="2:10" ht="14.4" thickBot="1" x14ac:dyDescent="0.3">
      <c r="G553" s="250" t="s">
        <v>483</v>
      </c>
      <c r="H553" s="625">
        <v>5291</v>
      </c>
      <c r="I553" s="625">
        <v>5226</v>
      </c>
      <c r="J553" s="422">
        <f t="shared" si="71"/>
        <v>1.2437810945273631E-2</v>
      </c>
    </row>
    <row r="554" spans="2:10" x14ac:dyDescent="0.25">
      <c r="B554" s="691" t="s">
        <v>146</v>
      </c>
      <c r="C554" s="691"/>
      <c r="D554" s="691"/>
      <c r="E554" s="712"/>
      <c r="G554" s="250" t="s">
        <v>333</v>
      </c>
      <c r="H554" s="625">
        <v>57726</v>
      </c>
      <c r="I554" s="625">
        <v>57673</v>
      </c>
      <c r="J554" s="422">
        <f t="shared" si="71"/>
        <v>9.1897421670461554E-4</v>
      </c>
    </row>
    <row r="555" spans="2:10" ht="14.4" thickBot="1" x14ac:dyDescent="0.3">
      <c r="B555" s="694" t="s">
        <v>277</v>
      </c>
      <c r="C555" s="694"/>
      <c r="D555" s="694"/>
      <c r="E555" s="713"/>
      <c r="G555" s="250" t="s">
        <v>610</v>
      </c>
      <c r="H555" s="625">
        <v>3337</v>
      </c>
      <c r="I555" s="625">
        <v>3783</v>
      </c>
      <c r="J555" s="422">
        <f t="shared" si="71"/>
        <v>-0.11789584985461277</v>
      </c>
    </row>
    <row r="556" spans="2:10" x14ac:dyDescent="0.25">
      <c r="B556" s="334"/>
      <c r="C556" s="217">
        <v>2022</v>
      </c>
      <c r="D556" s="217">
        <v>2021</v>
      </c>
      <c r="E556" s="218"/>
      <c r="G556" s="250" t="s">
        <v>331</v>
      </c>
      <c r="H556" s="625">
        <v>2938</v>
      </c>
      <c r="I556" s="625">
        <v>2777</v>
      </c>
      <c r="J556" s="422">
        <f t="shared" si="71"/>
        <v>5.7976233345336636E-2</v>
      </c>
    </row>
    <row r="557" spans="2:10" ht="14.4" thickBot="1" x14ac:dyDescent="0.3">
      <c r="B557" s="593"/>
      <c r="C557" s="594" t="s">
        <v>278</v>
      </c>
      <c r="D557" s="594" t="s">
        <v>278</v>
      </c>
      <c r="E557" s="595"/>
      <c r="G557" s="626" t="s">
        <v>292</v>
      </c>
      <c r="H557" s="625">
        <v>95688</v>
      </c>
      <c r="I557" s="625">
        <v>95688</v>
      </c>
      <c r="J557" s="422">
        <f t="shared" si="71"/>
        <v>0</v>
      </c>
    </row>
    <row r="558" spans="2:10" x14ac:dyDescent="0.25">
      <c r="B558" s="596"/>
      <c r="C558" s="597"/>
      <c r="D558" s="598"/>
      <c r="E558" s="599"/>
      <c r="G558" s="250" t="s">
        <v>647</v>
      </c>
      <c r="H558" s="625">
        <v>467964</v>
      </c>
      <c r="I558" s="625">
        <v>454802</v>
      </c>
      <c r="J558" s="422">
        <f t="shared" si="71"/>
        <v>2.8940066226621708E-2</v>
      </c>
    </row>
    <row r="559" spans="2:10" x14ac:dyDescent="0.25">
      <c r="B559" s="600" t="s">
        <v>306</v>
      </c>
      <c r="C559" s="601">
        <v>470984</v>
      </c>
      <c r="D559" s="602">
        <v>385318</v>
      </c>
      <c r="E559" s="569">
        <f>C559/D559-1</f>
        <v>0.22232545585724006</v>
      </c>
      <c r="G559" s="250" t="s">
        <v>352</v>
      </c>
      <c r="H559" s="625">
        <v>206924</v>
      </c>
      <c r="I559" s="625">
        <v>116751</v>
      </c>
      <c r="J559" s="422">
        <f t="shared" si="71"/>
        <v>0.77235312759633756</v>
      </c>
    </row>
    <row r="560" spans="2:10" x14ac:dyDescent="0.25">
      <c r="B560" s="603" t="s">
        <v>595</v>
      </c>
      <c r="C560" s="604">
        <f>C561-C559</f>
        <v>-291658</v>
      </c>
      <c r="D560" s="604">
        <f>D561-D559</f>
        <v>-252211</v>
      </c>
      <c r="E560" s="569"/>
      <c r="G560" s="250" t="s">
        <v>611</v>
      </c>
      <c r="H560" s="625">
        <v>1561</v>
      </c>
      <c r="I560" s="625">
        <v>1561</v>
      </c>
      <c r="J560" s="422">
        <f>H560/I560-1</f>
        <v>0</v>
      </c>
    </row>
    <row r="561" spans="2:10" x14ac:dyDescent="0.25">
      <c r="B561" s="600" t="s">
        <v>596</v>
      </c>
      <c r="C561" s="601">
        <v>179326</v>
      </c>
      <c r="D561" s="602">
        <v>133107</v>
      </c>
      <c r="E561" s="569">
        <f>C561/D561-1</f>
        <v>0.34723192619471543</v>
      </c>
      <c r="G561" s="250" t="s">
        <v>612</v>
      </c>
      <c r="H561" s="625">
        <v>53020</v>
      </c>
      <c r="I561" s="625">
        <v>72479</v>
      </c>
      <c r="J561" s="422">
        <f>H561/I561-1</f>
        <v>-0.2684777659735923</v>
      </c>
    </row>
    <row r="562" spans="2:10" x14ac:dyDescent="0.25">
      <c r="B562" s="603" t="s">
        <v>597</v>
      </c>
      <c r="C562" s="604">
        <f>4587-40325</f>
        <v>-35738</v>
      </c>
      <c r="D562" s="604">
        <f>1227-31345</f>
        <v>-30118</v>
      </c>
      <c r="E562" s="560"/>
      <c r="G562" s="248" t="s">
        <v>319</v>
      </c>
      <c r="H562" s="627">
        <f>SUM(H546:H561)</f>
        <v>2577181</v>
      </c>
      <c r="I562" s="627">
        <f>SUM(I546:I561)</f>
        <v>2595769</v>
      </c>
      <c r="J562" s="419">
        <f>H562/I562-1</f>
        <v>-7.1608837304090178E-3</v>
      </c>
    </row>
    <row r="563" spans="2:10" x14ac:dyDescent="0.25">
      <c r="B563" s="600" t="s">
        <v>280</v>
      </c>
      <c r="C563" s="601">
        <f>SUM(C561:C562)</f>
        <v>143588</v>
      </c>
      <c r="D563" s="601">
        <f>SUM(D561:D562)</f>
        <v>102989</v>
      </c>
      <c r="E563" s="569">
        <f>C563/D563-1</f>
        <v>0.39420714833623016</v>
      </c>
      <c r="G563" s="248"/>
      <c r="H563" s="627"/>
      <c r="I563" s="627"/>
      <c r="J563" s="419"/>
    </row>
    <row r="564" spans="2:10" ht="14.4" thickBot="1" x14ac:dyDescent="0.3">
      <c r="B564" s="603" t="s">
        <v>281</v>
      </c>
      <c r="C564" s="604">
        <v>-46768</v>
      </c>
      <c r="D564" s="604">
        <v>-29241</v>
      </c>
      <c r="E564" s="569"/>
      <c r="G564" s="248" t="s">
        <v>294</v>
      </c>
      <c r="H564" s="627"/>
      <c r="I564" s="627"/>
      <c r="J564" s="419"/>
    </row>
    <row r="565" spans="2:10" ht="14.4" thickBot="1" x14ac:dyDescent="0.3">
      <c r="B565" s="605" t="s">
        <v>309</v>
      </c>
      <c r="C565" s="606">
        <f>SUM(C563:C564)</f>
        <v>96820</v>
      </c>
      <c r="D565" s="606">
        <f>SUM(D563:D564)</f>
        <v>73748</v>
      </c>
      <c r="E565" s="574">
        <f>C565/D565-1</f>
        <v>0.31284916201117308</v>
      </c>
      <c r="G565" s="250" t="s">
        <v>357</v>
      </c>
      <c r="H565" s="625">
        <v>10566</v>
      </c>
      <c r="I565" s="625">
        <v>8684</v>
      </c>
      <c r="J565" s="422">
        <f>H565/I565-1</f>
        <v>0.21672040534315973</v>
      </c>
    </row>
    <row r="566" spans="2:10" ht="14.4" thickBot="1" x14ac:dyDescent="0.3">
      <c r="B566" s="607" t="s">
        <v>283</v>
      </c>
      <c r="C566" s="608"/>
      <c r="D566" s="608"/>
      <c r="E566" s="569"/>
      <c r="G566" s="250" t="s">
        <v>359</v>
      </c>
      <c r="H566" s="625">
        <v>7977</v>
      </c>
      <c r="I566" s="625">
        <v>0</v>
      </c>
      <c r="J566" s="422">
        <v>0</v>
      </c>
    </row>
    <row r="567" spans="2:10" x14ac:dyDescent="0.25">
      <c r="B567" s="609" t="s">
        <v>285</v>
      </c>
      <c r="C567" s="571" t="s">
        <v>340</v>
      </c>
      <c r="D567" s="571" t="s">
        <v>284</v>
      </c>
      <c r="E567" s="569"/>
      <c r="G567" s="250" t="s">
        <v>613</v>
      </c>
      <c r="H567" s="625">
        <v>1313316</v>
      </c>
      <c r="I567" s="625">
        <v>1355910</v>
      </c>
      <c r="J567" s="422">
        <f t="shared" ref="J567:J577" si="73">H567/I567-1</f>
        <v>-3.1413589397526365E-2</v>
      </c>
    </row>
    <row r="568" spans="2:10" x14ac:dyDescent="0.25">
      <c r="B568" s="609" t="s">
        <v>311</v>
      </c>
      <c r="C568" s="556"/>
      <c r="D568" s="556"/>
      <c r="E568" s="569"/>
      <c r="G568" s="250" t="s">
        <v>324</v>
      </c>
      <c r="H568" s="625">
        <v>1706</v>
      </c>
      <c r="I568" s="625">
        <v>1420</v>
      </c>
      <c r="J568" s="422">
        <f t="shared" si="73"/>
        <v>0.20140845070422531</v>
      </c>
    </row>
    <row r="569" spans="2:10" x14ac:dyDescent="0.25">
      <c r="B569" s="407" t="s">
        <v>379</v>
      </c>
      <c r="C569" s="610">
        <v>821739</v>
      </c>
      <c r="D569" s="610">
        <v>774113</v>
      </c>
      <c r="E569" s="560">
        <f t="shared" ref="E569:E574" si="74">C569/D569-1</f>
        <v>6.1523317655174381E-2</v>
      </c>
      <c r="G569" s="250" t="s">
        <v>420</v>
      </c>
      <c r="H569" s="625">
        <v>1806</v>
      </c>
      <c r="I569" s="625">
        <v>1895</v>
      </c>
      <c r="J569" s="422">
        <f t="shared" si="73"/>
        <v>-4.696569920844329E-2</v>
      </c>
    </row>
    <row r="570" spans="2:10" x14ac:dyDescent="0.25">
      <c r="B570" s="407" t="s">
        <v>291</v>
      </c>
      <c r="C570" s="610">
        <v>345103</v>
      </c>
      <c r="D570" s="610">
        <v>245558</v>
      </c>
      <c r="E570" s="560">
        <f t="shared" si="74"/>
        <v>0.40538284234274591</v>
      </c>
      <c r="G570" s="250" t="s">
        <v>614</v>
      </c>
      <c r="H570" s="625">
        <v>720158</v>
      </c>
      <c r="I570" s="625">
        <v>699819</v>
      </c>
      <c r="J570" s="422">
        <f t="shared" si="73"/>
        <v>2.9063229206409025E-2</v>
      </c>
    </row>
    <row r="571" spans="2:10" x14ac:dyDescent="0.25">
      <c r="B571" s="407" t="s">
        <v>598</v>
      </c>
      <c r="C571" s="610">
        <v>667821</v>
      </c>
      <c r="D571" s="610">
        <v>613812</v>
      </c>
      <c r="E571" s="560">
        <f t="shared" si="74"/>
        <v>8.7989482121561657E-2</v>
      </c>
      <c r="G571" s="250" t="s">
        <v>648</v>
      </c>
      <c r="H571" s="625">
        <v>1061</v>
      </c>
      <c r="I571" s="625">
        <v>1069</v>
      </c>
      <c r="J571" s="422">
        <f t="shared" si="73"/>
        <v>-7.4836295603367686E-3</v>
      </c>
    </row>
    <row r="572" spans="2:10" x14ac:dyDescent="0.25">
      <c r="B572" s="407" t="s">
        <v>599</v>
      </c>
      <c r="C572" s="610">
        <v>10587</v>
      </c>
      <c r="D572" s="610">
        <v>10845</v>
      </c>
      <c r="E572" s="560">
        <f t="shared" si="74"/>
        <v>-2.3789764868603069E-2</v>
      </c>
      <c r="G572" s="250" t="s">
        <v>363</v>
      </c>
      <c r="H572" s="625">
        <v>6295</v>
      </c>
      <c r="I572" s="625">
        <v>6536</v>
      </c>
      <c r="J572" s="422">
        <f t="shared" si="73"/>
        <v>-3.6872705018359819E-2</v>
      </c>
    </row>
    <row r="573" spans="2:10" x14ac:dyDescent="0.25">
      <c r="B573" s="407" t="s">
        <v>600</v>
      </c>
      <c r="C573" s="610">
        <v>17471</v>
      </c>
      <c r="D573" s="610">
        <v>17942</v>
      </c>
      <c r="E573" s="560">
        <f t="shared" si="74"/>
        <v>-2.6251254040798089E-2</v>
      </c>
      <c r="G573" s="250" t="s">
        <v>615</v>
      </c>
      <c r="H573" s="625">
        <v>0</v>
      </c>
      <c r="I573" s="625">
        <v>32262</v>
      </c>
      <c r="J573" s="422">
        <f t="shared" si="73"/>
        <v>-1</v>
      </c>
    </row>
    <row r="574" spans="2:10" x14ac:dyDescent="0.25">
      <c r="B574" s="324" t="s">
        <v>313</v>
      </c>
      <c r="C574" s="611">
        <f>SUM(C569:C573)</f>
        <v>1862721</v>
      </c>
      <c r="D574" s="611">
        <f>SUM(D569:D573)</f>
        <v>1662270</v>
      </c>
      <c r="E574" s="569">
        <f t="shared" si="74"/>
        <v>0.12058871302495988</v>
      </c>
      <c r="G574" s="250" t="s">
        <v>616</v>
      </c>
      <c r="H574" s="625">
        <v>30926</v>
      </c>
      <c r="I574" s="625">
        <v>29716</v>
      </c>
      <c r="J574" s="422">
        <f t="shared" si="73"/>
        <v>4.0718804684345189E-2</v>
      </c>
    </row>
    <row r="575" spans="2:10" x14ac:dyDescent="0.25">
      <c r="B575" s="407"/>
      <c r="C575" s="611"/>
      <c r="D575" s="611"/>
      <c r="E575" s="569"/>
      <c r="G575" s="250" t="s">
        <v>334</v>
      </c>
      <c r="H575" s="625">
        <v>171038</v>
      </c>
      <c r="I575" s="625">
        <v>175118</v>
      </c>
      <c r="J575" s="422">
        <f t="shared" si="73"/>
        <v>-2.3298575817448763E-2</v>
      </c>
    </row>
    <row r="576" spans="2:10" x14ac:dyDescent="0.25">
      <c r="B576" s="324" t="s">
        <v>314</v>
      </c>
      <c r="C576" s="610"/>
      <c r="D576" s="610"/>
      <c r="E576" s="560"/>
      <c r="G576" s="250" t="s">
        <v>617</v>
      </c>
      <c r="H576" s="625">
        <v>36583</v>
      </c>
      <c r="I576" s="625">
        <v>16473</v>
      </c>
      <c r="J576" s="422">
        <f t="shared" si="73"/>
        <v>1.2207855278334243</v>
      </c>
    </row>
    <row r="577" spans="2:10" x14ac:dyDescent="0.25">
      <c r="B577" s="407" t="s">
        <v>315</v>
      </c>
      <c r="C577" s="610">
        <v>2053</v>
      </c>
      <c r="D577" s="610">
        <v>5310</v>
      </c>
      <c r="E577" s="560">
        <f t="shared" ref="E577:E583" si="75">C577/D577-1</f>
        <v>-0.61337099811676077</v>
      </c>
      <c r="G577" s="248" t="s">
        <v>300</v>
      </c>
      <c r="H577" s="627">
        <f>SUM(H565:H576)</f>
        <v>2301432</v>
      </c>
      <c r="I577" s="627">
        <f>SUM(I565:I576)</f>
        <v>2328902</v>
      </c>
      <c r="J577" s="419">
        <f t="shared" si="73"/>
        <v>-1.1795258022879507E-2</v>
      </c>
    </row>
    <row r="578" spans="2:10" x14ac:dyDescent="0.25">
      <c r="B578" s="407" t="s">
        <v>316</v>
      </c>
      <c r="C578" s="610">
        <v>125792</v>
      </c>
      <c r="D578" s="610">
        <v>127232</v>
      </c>
      <c r="E578" s="560">
        <f t="shared" si="75"/>
        <v>-1.1317907444667985E-2</v>
      </c>
      <c r="G578" s="248"/>
      <c r="H578" s="627"/>
      <c r="I578" s="627"/>
      <c r="J578" s="419"/>
    </row>
    <row r="579" spans="2:10" x14ac:dyDescent="0.25">
      <c r="B579" s="407" t="s">
        <v>601</v>
      </c>
      <c r="C579" s="610">
        <v>43839</v>
      </c>
      <c r="D579" s="610">
        <v>57664</v>
      </c>
      <c r="E579" s="560">
        <f t="shared" si="75"/>
        <v>-0.23975097114317423</v>
      </c>
      <c r="G579" s="248" t="s">
        <v>301</v>
      </c>
      <c r="H579" s="627"/>
      <c r="I579" s="627"/>
      <c r="J579" s="419"/>
    </row>
    <row r="580" spans="2:10" x14ac:dyDescent="0.25">
      <c r="B580" s="407" t="s">
        <v>451</v>
      </c>
      <c r="C580" s="610">
        <v>210641</v>
      </c>
      <c r="D580" s="610">
        <v>146188</v>
      </c>
      <c r="E580" s="560">
        <f t="shared" si="75"/>
        <v>0.44089118121870463</v>
      </c>
      <c r="G580" s="250" t="s">
        <v>618</v>
      </c>
      <c r="H580" s="625">
        <v>148090</v>
      </c>
      <c r="I580" s="625">
        <v>148090</v>
      </c>
      <c r="J580" s="422">
        <f>H580/I580-1</f>
        <v>0</v>
      </c>
    </row>
    <row r="581" spans="2:10" x14ac:dyDescent="0.25">
      <c r="B581" s="407" t="s">
        <v>317</v>
      </c>
      <c r="C581" s="610">
        <v>210704</v>
      </c>
      <c r="D581" s="610">
        <v>260891</v>
      </c>
      <c r="E581" s="560">
        <f t="shared" si="75"/>
        <v>-0.19236769378782714</v>
      </c>
      <c r="G581" s="250" t="s">
        <v>619</v>
      </c>
      <c r="H581" s="625">
        <v>19661</v>
      </c>
      <c r="I581" s="625">
        <v>13723</v>
      </c>
      <c r="J581" s="422">
        <f>H581/I581-1</f>
        <v>0.43270421919405377</v>
      </c>
    </row>
    <row r="582" spans="2:10" x14ac:dyDescent="0.25">
      <c r="B582" s="324" t="s">
        <v>318</v>
      </c>
      <c r="C582" s="611">
        <f>SUM(C577:C581)</f>
        <v>593029</v>
      </c>
      <c r="D582" s="611">
        <f>SUM(D577:D581)</f>
        <v>597285</v>
      </c>
      <c r="E582" s="569">
        <f t="shared" si="75"/>
        <v>-7.1255765673003957E-3</v>
      </c>
      <c r="G582" s="250" t="s">
        <v>328</v>
      </c>
      <c r="H582" s="625">
        <v>101149</v>
      </c>
      <c r="I582" s="625">
        <v>98250</v>
      </c>
      <c r="J582" s="422">
        <f>H582/I582-1</f>
        <v>2.9506361323155206E-2</v>
      </c>
    </row>
    <row r="583" spans="2:10" ht="14.4" thickBot="1" x14ac:dyDescent="0.3">
      <c r="B583" s="324" t="s">
        <v>319</v>
      </c>
      <c r="C583" s="611">
        <f>C574+C582</f>
        <v>2455750</v>
      </c>
      <c r="D583" s="611">
        <f>D574+D582</f>
        <v>2259555</v>
      </c>
      <c r="E583" s="569">
        <f t="shared" si="75"/>
        <v>8.6829043771893044E-2</v>
      </c>
      <c r="G583" s="250" t="s">
        <v>467</v>
      </c>
      <c r="H583" s="625">
        <v>6848</v>
      </c>
      <c r="I583" s="625">
        <v>6804</v>
      </c>
      <c r="J583" s="422">
        <f>H583/I583-1</f>
        <v>6.4667842445620405E-3</v>
      </c>
    </row>
    <row r="584" spans="2:10" ht="14.4" thickBot="1" x14ac:dyDescent="0.3">
      <c r="B584" s="324"/>
      <c r="C584" s="611"/>
      <c r="D584" s="611"/>
      <c r="E584" s="569"/>
      <c r="G584" s="628" t="s">
        <v>305</v>
      </c>
      <c r="H584" s="629">
        <f>SUM(H580:H583)</f>
        <v>275748</v>
      </c>
      <c r="I584" s="629">
        <f>SUM(I580:I583)</f>
        <v>266867</v>
      </c>
      <c r="J584" s="242">
        <f>H584/I584-1</f>
        <v>3.3278749339558766E-2</v>
      </c>
    </row>
    <row r="585" spans="2:10" ht="14.4" thickBot="1" x14ac:dyDescent="0.3">
      <c r="B585" s="324" t="s">
        <v>294</v>
      </c>
      <c r="C585" s="611"/>
      <c r="D585" s="611"/>
      <c r="E585" s="569"/>
    </row>
    <row r="586" spans="2:10" x14ac:dyDescent="0.25">
      <c r="B586" s="324" t="s">
        <v>320</v>
      </c>
      <c r="C586" s="610"/>
      <c r="D586" s="610"/>
      <c r="E586" s="560"/>
      <c r="G586" s="697" t="s">
        <v>631</v>
      </c>
      <c r="H586" s="698"/>
      <c r="I586" s="698"/>
      <c r="J586" s="699"/>
    </row>
    <row r="587" spans="2:10" ht="14.4" thickBot="1" x14ac:dyDescent="0.3">
      <c r="B587" s="407" t="s">
        <v>561</v>
      </c>
      <c r="C587" s="610">
        <v>324538</v>
      </c>
      <c r="D587" s="610">
        <v>340425</v>
      </c>
      <c r="E587" s="560">
        <f t="shared" ref="E587:E593" si="76">C587/D587-1</f>
        <v>-4.6668135418961643E-2</v>
      </c>
      <c r="G587" s="700" t="s">
        <v>621</v>
      </c>
      <c r="H587" s="701"/>
      <c r="I587" s="701"/>
      <c r="J587" s="702"/>
    </row>
    <row r="588" spans="2:10" x14ac:dyDescent="0.25">
      <c r="B588" s="407" t="s">
        <v>546</v>
      </c>
      <c r="C588" s="610">
        <v>680745</v>
      </c>
      <c r="D588" s="610">
        <v>628325</v>
      </c>
      <c r="E588" s="560">
        <f t="shared" si="76"/>
        <v>8.3428162177217269E-2</v>
      </c>
      <c r="G588" s="631"/>
      <c r="H588" s="632">
        <v>2022</v>
      </c>
      <c r="I588" s="632">
        <v>2021</v>
      </c>
      <c r="J588" s="633"/>
    </row>
    <row r="589" spans="2:10" ht="14.4" thickBot="1" x14ac:dyDescent="0.3">
      <c r="B589" s="407" t="s">
        <v>649</v>
      </c>
      <c r="C589" s="610">
        <v>87853</v>
      </c>
      <c r="D589" s="610">
        <v>104683</v>
      </c>
      <c r="E589" s="560">
        <f t="shared" si="76"/>
        <v>-0.16077108986177313</v>
      </c>
      <c r="G589" s="634"/>
      <c r="H589" s="635" t="s">
        <v>278</v>
      </c>
      <c r="I589" s="635" t="s">
        <v>632</v>
      </c>
      <c r="J589" s="636"/>
    </row>
    <row r="590" spans="2:10" x14ac:dyDescent="0.25">
      <c r="B590" s="407" t="s">
        <v>298</v>
      </c>
      <c r="C590" s="610">
        <v>41</v>
      </c>
      <c r="D590" s="610">
        <v>41</v>
      </c>
      <c r="E590" s="560">
        <f t="shared" si="76"/>
        <v>0</v>
      </c>
      <c r="G590" s="637"/>
      <c r="H590" s="638"/>
      <c r="I590" s="214"/>
      <c r="J590" s="179"/>
    </row>
    <row r="591" spans="2:10" x14ac:dyDescent="0.25">
      <c r="B591" s="407" t="s">
        <v>602</v>
      </c>
      <c r="C591" s="610">
        <v>1612</v>
      </c>
      <c r="D591" s="610">
        <v>8547</v>
      </c>
      <c r="E591" s="560">
        <f t="shared" si="76"/>
        <v>-0.81139581139581141</v>
      </c>
      <c r="G591" s="639" t="s">
        <v>501</v>
      </c>
      <c r="H591" s="214">
        <v>12709.134</v>
      </c>
      <c r="I591" s="214">
        <v>10013.105</v>
      </c>
      <c r="J591" s="183">
        <f>H591/I591-1</f>
        <v>0.26925004781234207</v>
      </c>
    </row>
    <row r="592" spans="2:10" x14ac:dyDescent="0.25">
      <c r="B592" s="407" t="s">
        <v>419</v>
      </c>
      <c r="C592" s="610">
        <v>5993</v>
      </c>
      <c r="D592" s="610">
        <v>6549</v>
      </c>
      <c r="E592" s="560">
        <f t="shared" si="76"/>
        <v>-8.4898457779813752E-2</v>
      </c>
      <c r="G592" s="639" t="s">
        <v>280</v>
      </c>
      <c r="H592" s="214">
        <v>1796.6130000000001</v>
      </c>
      <c r="I592" s="214">
        <v>1292.296</v>
      </c>
      <c r="J592" s="183">
        <f>H592/I592-1</f>
        <v>0.3902488284417811</v>
      </c>
    </row>
    <row r="593" spans="2:10" ht="14.4" thickBot="1" x14ac:dyDescent="0.3">
      <c r="B593" s="324" t="s">
        <v>322</v>
      </c>
      <c r="C593" s="611">
        <f>SUM(C587:C592)</f>
        <v>1100782</v>
      </c>
      <c r="D593" s="611">
        <f>SUM(D587:D592)</f>
        <v>1088570</v>
      </c>
      <c r="E593" s="569">
        <f t="shared" si="76"/>
        <v>1.1218387425705245E-2</v>
      </c>
      <c r="G593" s="640" t="s">
        <v>281</v>
      </c>
      <c r="H593" s="641">
        <v>-251.52600000000001</v>
      </c>
      <c r="I593" s="641">
        <v>-200.30600000000001</v>
      </c>
      <c r="J593" s="183"/>
    </row>
    <row r="594" spans="2:10" ht="14.4" thickBot="1" x14ac:dyDescent="0.3">
      <c r="B594" s="407"/>
      <c r="C594" s="611"/>
      <c r="D594" s="611"/>
      <c r="E594" s="569"/>
      <c r="G594" s="639" t="s">
        <v>309</v>
      </c>
      <c r="H594" s="642">
        <f>SUM(H592:H593)</f>
        <v>1545.087</v>
      </c>
      <c r="I594" s="642">
        <f>SUM(I592:I593)</f>
        <v>1091.99</v>
      </c>
      <c r="J594" s="187">
        <f>H594/I594-1</f>
        <v>0.41492779237905109</v>
      </c>
    </row>
    <row r="595" spans="2:10" ht="14.4" thickBot="1" x14ac:dyDescent="0.3">
      <c r="B595" s="324" t="s">
        <v>323</v>
      </c>
      <c r="C595" s="611"/>
      <c r="D595" s="611"/>
      <c r="E595" s="569"/>
      <c r="G595" s="677" t="s">
        <v>283</v>
      </c>
      <c r="H595" s="643"/>
      <c r="I595" s="643"/>
      <c r="J595" s="644"/>
    </row>
    <row r="596" spans="2:10" x14ac:dyDescent="0.25">
      <c r="B596" s="407" t="s">
        <v>561</v>
      </c>
      <c r="C596" s="610">
        <v>170194</v>
      </c>
      <c r="D596" s="610">
        <v>152835</v>
      </c>
      <c r="E596" s="560">
        <f t="shared" ref="E596:E605" si="77">C596/D596-1</f>
        <v>0.11358000458010276</v>
      </c>
      <c r="G596" s="652"/>
      <c r="H596" s="571" t="s">
        <v>340</v>
      </c>
      <c r="I596" s="571" t="s">
        <v>284</v>
      </c>
      <c r="J596" s="644"/>
    </row>
    <row r="597" spans="2:10" x14ac:dyDescent="0.25">
      <c r="B597" s="407" t="s">
        <v>546</v>
      </c>
      <c r="C597" s="610">
        <v>71846</v>
      </c>
      <c r="D597" s="610">
        <v>62531</v>
      </c>
      <c r="E597" s="560">
        <f t="shared" si="77"/>
        <v>0.14896611280804728</v>
      </c>
      <c r="G597" s="645" t="s">
        <v>285</v>
      </c>
      <c r="H597" s="638"/>
      <c r="I597" s="638"/>
      <c r="J597" s="644"/>
    </row>
    <row r="598" spans="2:10" x14ac:dyDescent="0.25">
      <c r="B598" s="407" t="s">
        <v>325</v>
      </c>
      <c r="C598" s="610">
        <v>445679</v>
      </c>
      <c r="D598" s="610">
        <v>443895</v>
      </c>
      <c r="E598" s="560">
        <f t="shared" si="77"/>
        <v>4.0189684497460298E-3</v>
      </c>
      <c r="G598" s="646" t="s">
        <v>317</v>
      </c>
      <c r="H598" s="215">
        <v>8543.0810000000001</v>
      </c>
      <c r="I598" s="215">
        <v>7841.1809999999996</v>
      </c>
      <c r="J598" s="647">
        <f t="shared" ref="J598:J605" si="78">H598/I598-1</f>
        <v>8.9514576949569324E-2</v>
      </c>
    </row>
    <row r="599" spans="2:10" x14ac:dyDescent="0.25">
      <c r="B599" s="407" t="s">
        <v>603</v>
      </c>
      <c r="C599" s="610">
        <v>0</v>
      </c>
      <c r="D599" s="610">
        <v>372</v>
      </c>
      <c r="E599" s="560">
        <f t="shared" si="77"/>
        <v>-1</v>
      </c>
      <c r="G599" s="640" t="s">
        <v>633</v>
      </c>
      <c r="H599" s="215">
        <v>5611.5169999999998</v>
      </c>
      <c r="I599" s="215">
        <v>5354.0169999999998</v>
      </c>
      <c r="J599" s="647">
        <f t="shared" si="78"/>
        <v>4.8094729620768772E-2</v>
      </c>
    </row>
    <row r="600" spans="2:10" x14ac:dyDescent="0.25">
      <c r="B600" s="407" t="s">
        <v>495</v>
      </c>
      <c r="C600" s="610">
        <v>67028</v>
      </c>
      <c r="D600" s="610">
        <v>72336</v>
      </c>
      <c r="E600" s="560">
        <f t="shared" si="77"/>
        <v>-7.3379783233797791E-2</v>
      </c>
      <c r="G600" s="640" t="s">
        <v>634</v>
      </c>
      <c r="H600" s="215">
        <v>84.884</v>
      </c>
      <c r="I600" s="215">
        <v>84.884</v>
      </c>
      <c r="J600" s="647">
        <f t="shared" si="78"/>
        <v>0</v>
      </c>
    </row>
    <row r="601" spans="2:10" x14ac:dyDescent="0.25">
      <c r="B601" s="407" t="s">
        <v>419</v>
      </c>
      <c r="C601" s="610">
        <v>507</v>
      </c>
      <c r="D601" s="610">
        <v>136</v>
      </c>
      <c r="E601" s="560">
        <f t="shared" si="77"/>
        <v>2.7279411764705883</v>
      </c>
      <c r="G601" s="640" t="s">
        <v>635</v>
      </c>
      <c r="H601" s="215">
        <v>8812.8230000000003</v>
      </c>
      <c r="I601" s="215">
        <v>8143.491</v>
      </c>
      <c r="J601" s="647">
        <f t="shared" si="78"/>
        <v>8.2192268647438782E-2</v>
      </c>
    </row>
    <row r="602" spans="2:10" x14ac:dyDescent="0.25">
      <c r="B602" s="407" t="s">
        <v>324</v>
      </c>
      <c r="C602" s="610">
        <v>207761</v>
      </c>
      <c r="D602" s="610">
        <v>144163</v>
      </c>
      <c r="E602" s="560">
        <f t="shared" si="77"/>
        <v>0.44115341661868857</v>
      </c>
      <c r="G602" s="648" t="s">
        <v>500</v>
      </c>
      <c r="H602" s="215">
        <v>3216.085</v>
      </c>
      <c r="I602" s="215">
        <v>1479.056</v>
      </c>
      <c r="J602" s="647">
        <f t="shared" si="78"/>
        <v>1.1744173310544022</v>
      </c>
    </row>
    <row r="603" spans="2:10" x14ac:dyDescent="0.25">
      <c r="B603" s="407" t="s">
        <v>604</v>
      </c>
      <c r="C603" s="610">
        <v>24969</v>
      </c>
      <c r="D603" s="610">
        <v>29736</v>
      </c>
      <c r="E603" s="560">
        <f t="shared" si="77"/>
        <v>-0.16031073446327682</v>
      </c>
      <c r="G603" s="648" t="s">
        <v>503</v>
      </c>
      <c r="H603" s="215">
        <v>7565.82</v>
      </c>
      <c r="I603" s="215">
        <v>7565.82</v>
      </c>
      <c r="J603" s="647">
        <f t="shared" si="78"/>
        <v>0</v>
      </c>
    </row>
    <row r="604" spans="2:10" x14ac:dyDescent="0.25">
      <c r="B604" s="324" t="s">
        <v>336</v>
      </c>
      <c r="C604" s="611">
        <f>SUM(C596:C603)</f>
        <v>987984</v>
      </c>
      <c r="D604" s="611">
        <f>SUM(D596:D603)</f>
        <v>906004</v>
      </c>
      <c r="E604" s="569">
        <f t="shared" si="77"/>
        <v>9.0485251720743065E-2</v>
      </c>
      <c r="G604" s="646" t="s">
        <v>636</v>
      </c>
      <c r="H604" s="215">
        <v>1360.0350000000001</v>
      </c>
      <c r="I604" s="215">
        <v>1030.7529999999999</v>
      </c>
      <c r="J604" s="647">
        <f t="shared" si="78"/>
        <v>0.3194577168341981</v>
      </c>
    </row>
    <row r="605" spans="2:10" x14ac:dyDescent="0.25">
      <c r="B605" s="324" t="s">
        <v>300</v>
      </c>
      <c r="C605" s="611">
        <f>C593+C604</f>
        <v>2088766</v>
      </c>
      <c r="D605" s="611">
        <f>D593+D604</f>
        <v>1994574</v>
      </c>
      <c r="E605" s="569">
        <f t="shared" si="77"/>
        <v>4.7224119034941836E-2</v>
      </c>
      <c r="G605" s="646" t="s">
        <v>505</v>
      </c>
      <c r="H605" s="215">
        <v>286.05099999999999</v>
      </c>
      <c r="I605" s="215">
        <v>263.77600000000001</v>
      </c>
      <c r="J605" s="647">
        <f t="shared" si="78"/>
        <v>8.4446651704476405E-2</v>
      </c>
    </row>
    <row r="606" spans="2:10" x14ac:dyDescent="0.25">
      <c r="B606" s="324"/>
      <c r="C606" s="611"/>
      <c r="D606" s="611"/>
      <c r="E606" s="569"/>
      <c r="G606" s="646" t="s">
        <v>516</v>
      </c>
      <c r="H606" s="215">
        <v>0</v>
      </c>
      <c r="I606" s="215">
        <v>0</v>
      </c>
      <c r="J606" s="647">
        <v>0</v>
      </c>
    </row>
    <row r="607" spans="2:10" x14ac:dyDescent="0.25">
      <c r="B607" s="324" t="s">
        <v>301</v>
      </c>
      <c r="C607" s="610"/>
      <c r="D607" s="610"/>
      <c r="E607" s="569"/>
      <c r="G607" s="646" t="s">
        <v>637</v>
      </c>
      <c r="H607" s="215">
        <v>150</v>
      </c>
      <c r="I607" s="215">
        <v>150</v>
      </c>
      <c r="J607" s="647">
        <v>0</v>
      </c>
    </row>
    <row r="608" spans="2:10" x14ac:dyDescent="0.25">
      <c r="B608" s="407" t="s">
        <v>302</v>
      </c>
      <c r="C608" s="610">
        <v>407</v>
      </c>
      <c r="D608" s="610">
        <v>407</v>
      </c>
      <c r="E608" s="560">
        <f>C608/D608-1</f>
        <v>0</v>
      </c>
      <c r="G608" s="646" t="s">
        <v>638</v>
      </c>
      <c r="H608" s="215">
        <v>1706.1669999999999</v>
      </c>
      <c r="I608" s="215">
        <v>1706.1669999999999</v>
      </c>
      <c r="J608" s="647">
        <f>H608/I608-1</f>
        <v>0</v>
      </c>
    </row>
    <row r="609" spans="2:10" x14ac:dyDescent="0.25">
      <c r="B609" s="407" t="s">
        <v>303</v>
      </c>
      <c r="C609" s="610">
        <v>17216</v>
      </c>
      <c r="D609" s="610">
        <v>17216</v>
      </c>
      <c r="E609" s="560">
        <f>C609/D609-1</f>
        <v>0</v>
      </c>
      <c r="G609" s="646" t="s">
        <v>639</v>
      </c>
      <c r="H609" s="215">
        <v>320</v>
      </c>
      <c r="I609" s="215">
        <v>320</v>
      </c>
      <c r="J609" s="647">
        <f>H609/I609-1</f>
        <v>0</v>
      </c>
    </row>
    <row r="610" spans="2:10" x14ac:dyDescent="0.25">
      <c r="B610" s="407" t="s">
        <v>327</v>
      </c>
      <c r="C610" s="610">
        <v>343293</v>
      </c>
      <c r="D610" s="610">
        <v>246473</v>
      </c>
      <c r="E610" s="560">
        <f>C610/D610-1</f>
        <v>0.39282193181403247</v>
      </c>
      <c r="G610" s="646" t="s">
        <v>571</v>
      </c>
      <c r="H610" s="215">
        <v>0.01</v>
      </c>
      <c r="I610" s="215">
        <v>0.01</v>
      </c>
      <c r="J610" s="647">
        <f>H610/I610-1</f>
        <v>0</v>
      </c>
    </row>
    <row r="611" spans="2:10" x14ac:dyDescent="0.25">
      <c r="B611" s="407" t="s">
        <v>328</v>
      </c>
      <c r="C611" s="610">
        <v>937</v>
      </c>
      <c r="D611" s="610">
        <v>885</v>
      </c>
      <c r="E611" s="560">
        <f>C611/D611-1</f>
        <v>5.8757062146892691E-2</v>
      </c>
      <c r="G611" s="646" t="s">
        <v>353</v>
      </c>
      <c r="H611" s="215">
        <v>3941.22</v>
      </c>
      <c r="I611" s="215">
        <v>3784.9609999999998</v>
      </c>
      <c r="J611" s="647">
        <f>H611/I611-1</f>
        <v>4.12841770364345E-2</v>
      </c>
    </row>
    <row r="612" spans="2:10" ht="14.4" thickBot="1" x14ac:dyDescent="0.3">
      <c r="B612" s="407" t="s">
        <v>463</v>
      </c>
      <c r="C612" s="610">
        <v>-4869</v>
      </c>
      <c r="D612" s="610">
        <v>0</v>
      </c>
      <c r="E612" s="560">
        <v>-1</v>
      </c>
      <c r="G612" s="646" t="s">
        <v>441</v>
      </c>
      <c r="H612" s="215">
        <v>196.8</v>
      </c>
      <c r="I612" s="215">
        <v>209.92</v>
      </c>
      <c r="J612" s="647">
        <v>1</v>
      </c>
    </row>
    <row r="613" spans="2:10" ht="14.4" thickBot="1" x14ac:dyDescent="0.3">
      <c r="B613" s="612" t="s">
        <v>305</v>
      </c>
      <c r="C613" s="396">
        <f>SUM(C608:C612)</f>
        <v>356984</v>
      </c>
      <c r="D613" s="396">
        <f>SUM(D608:D612)</f>
        <v>264981</v>
      </c>
      <c r="E613" s="574">
        <f>C613/D613-1</f>
        <v>0.34720602609243678</v>
      </c>
      <c r="G613" s="646" t="s">
        <v>485</v>
      </c>
      <c r="H613" s="215">
        <v>253.56800000000001</v>
      </c>
      <c r="I613" s="215">
        <v>253.56800000000001</v>
      </c>
      <c r="J613" s="647">
        <f>H613/I613-1</f>
        <v>0</v>
      </c>
    </row>
    <row r="614" spans="2:10" ht="14.4" thickBot="1" x14ac:dyDescent="0.3">
      <c r="G614" s="649" t="s">
        <v>389</v>
      </c>
      <c r="H614" s="214">
        <f>SUM(H598:H613)</f>
        <v>42048.061000000009</v>
      </c>
      <c r="I614" s="214">
        <f>SUM(I598:I613)</f>
        <v>38187.604000000007</v>
      </c>
      <c r="J614" s="644">
        <f>H614/I614-1</f>
        <v>0.10109188835204219</v>
      </c>
    </row>
    <row r="615" spans="2:10" x14ac:dyDescent="0.25">
      <c r="B615" s="691" t="s">
        <v>620</v>
      </c>
      <c r="C615" s="692"/>
      <c r="D615" s="692"/>
      <c r="E615" s="693"/>
      <c r="G615" s="649"/>
      <c r="H615" s="650"/>
      <c r="I615" s="650"/>
      <c r="J615" s="644"/>
    </row>
    <row r="616" spans="2:10" ht="14.4" thickBot="1" x14ac:dyDescent="0.3">
      <c r="B616" s="694" t="s">
        <v>621</v>
      </c>
      <c r="C616" s="695"/>
      <c r="D616" s="695"/>
      <c r="E616" s="696"/>
      <c r="G616" s="649" t="s">
        <v>294</v>
      </c>
      <c r="H616" s="650"/>
      <c r="I616" s="650"/>
      <c r="J616" s="644"/>
    </row>
    <row r="617" spans="2:10" x14ac:dyDescent="0.25">
      <c r="B617" s="216"/>
      <c r="C617" s="217">
        <v>2022</v>
      </c>
      <c r="D617" s="217">
        <v>2021</v>
      </c>
      <c r="E617" s="218"/>
      <c r="G617" s="646" t="s">
        <v>640</v>
      </c>
      <c r="H617" s="215">
        <v>14266.495999999999</v>
      </c>
      <c r="I617" s="215">
        <v>12217.843000000001</v>
      </c>
      <c r="J617" s="647">
        <f t="shared" ref="J617:J622" si="79">H617/I617-1</f>
        <v>0.1676771423564698</v>
      </c>
    </row>
    <row r="618" spans="2:10" ht="14.4" thickBot="1" x14ac:dyDescent="0.3">
      <c r="B618" s="630"/>
      <c r="C618" s="594" t="s">
        <v>278</v>
      </c>
      <c r="D618" s="594" t="s">
        <v>278</v>
      </c>
      <c r="E618" s="595"/>
      <c r="G618" s="646" t="s">
        <v>522</v>
      </c>
      <c r="H618" s="215">
        <v>559.49699999999996</v>
      </c>
      <c r="I618" s="215">
        <v>410.72800000000001</v>
      </c>
      <c r="J618" s="647">
        <f t="shared" si="79"/>
        <v>0.36220807931282972</v>
      </c>
    </row>
    <row r="619" spans="2:10" x14ac:dyDescent="0.25">
      <c r="B619" s="388"/>
      <c r="C619" s="389"/>
      <c r="D619" s="389"/>
      <c r="E619" s="201"/>
      <c r="G619" s="646" t="s">
        <v>524</v>
      </c>
      <c r="H619" s="215">
        <v>11764.737999999999</v>
      </c>
      <c r="I619" s="215">
        <v>1860.8140000000001</v>
      </c>
      <c r="J619" s="647">
        <f t="shared" si="79"/>
        <v>5.3223610742395531</v>
      </c>
    </row>
    <row r="620" spans="2:10" x14ac:dyDescent="0.25">
      <c r="B620" s="392" t="s">
        <v>279</v>
      </c>
      <c r="C620" s="213">
        <v>1468.3979999999999</v>
      </c>
      <c r="D620" s="213">
        <v>1291.854</v>
      </c>
      <c r="E620" s="203">
        <f>C620/D620-1</f>
        <v>0.13665940578424496</v>
      </c>
      <c r="G620" s="646" t="s">
        <v>420</v>
      </c>
      <c r="H620" s="215">
        <v>102.121</v>
      </c>
      <c r="I620" s="215">
        <v>139.62299999999999</v>
      </c>
      <c r="J620" s="647">
        <f t="shared" si="79"/>
        <v>-0.26859471577032434</v>
      </c>
    </row>
    <row r="621" spans="2:10" x14ac:dyDescent="0.25">
      <c r="B621" s="392" t="s">
        <v>280</v>
      </c>
      <c r="C621" s="213">
        <v>317.24</v>
      </c>
      <c r="D621" s="213">
        <v>314.85899999999998</v>
      </c>
      <c r="E621" s="203">
        <f>C621/D621-1</f>
        <v>7.5621151054916513E-3</v>
      </c>
      <c r="G621" s="646" t="s">
        <v>432</v>
      </c>
      <c r="H621" s="215">
        <v>52.414000000000001</v>
      </c>
      <c r="I621" s="215">
        <v>52.414000000000001</v>
      </c>
      <c r="J621" s="647">
        <f t="shared" si="79"/>
        <v>0</v>
      </c>
    </row>
    <row r="622" spans="2:10" ht="14.4" thickBot="1" x14ac:dyDescent="0.3">
      <c r="B622" s="394" t="s">
        <v>281</v>
      </c>
      <c r="C622" s="211">
        <v>-79.31</v>
      </c>
      <c r="D622" s="211">
        <v>-78.715000000000003</v>
      </c>
      <c r="E622" s="203"/>
      <c r="G622" s="646" t="s">
        <v>650</v>
      </c>
      <c r="H622" s="215">
        <v>870.26199999999994</v>
      </c>
      <c r="I622" s="215">
        <v>618.73599999999999</v>
      </c>
      <c r="J622" s="647">
        <f t="shared" si="79"/>
        <v>0.40651586460138089</v>
      </c>
    </row>
    <row r="623" spans="2:10" ht="14.4" thickBot="1" x14ac:dyDescent="0.3">
      <c r="B623" s="392" t="s">
        <v>282</v>
      </c>
      <c r="C623" s="398">
        <f>SUM(C621:C622)</f>
        <v>237.93</v>
      </c>
      <c r="D623" s="398">
        <f>SUM(D621:D622)</f>
        <v>236.14399999999998</v>
      </c>
      <c r="E623" s="357">
        <f>C623/D623-1</f>
        <v>7.5631817873840212E-3</v>
      </c>
      <c r="G623" s="646" t="s">
        <v>321</v>
      </c>
      <c r="H623" s="215">
        <v>10.387</v>
      </c>
      <c r="I623" s="215">
        <v>10.387</v>
      </c>
      <c r="J623" s="647">
        <v>1</v>
      </c>
    </row>
    <row r="624" spans="2:10" ht="14.4" thickBot="1" x14ac:dyDescent="0.3">
      <c r="B624" s="401" t="s">
        <v>283</v>
      </c>
      <c r="C624" s="402"/>
      <c r="D624" s="402"/>
      <c r="E624" s="203"/>
      <c r="G624" s="645" t="s">
        <v>300</v>
      </c>
      <c r="H624" s="214">
        <f>SUM(H617:H623)</f>
        <v>27625.914999999997</v>
      </c>
      <c r="I624" s="214">
        <f>SUM(I617:I623)</f>
        <v>15310.545000000002</v>
      </c>
      <c r="J624" s="644">
        <f>H624/I624-1</f>
        <v>0.80437175815753093</v>
      </c>
    </row>
    <row r="625" spans="2:10" x14ac:dyDescent="0.25">
      <c r="B625" s="324" t="s">
        <v>285</v>
      </c>
      <c r="C625" s="211"/>
      <c r="D625" s="211"/>
      <c r="E625" s="203"/>
      <c r="G625" s="645"/>
      <c r="H625" s="650"/>
      <c r="I625" s="650"/>
      <c r="J625" s="644"/>
    </row>
    <row r="626" spans="2:10" x14ac:dyDescent="0.25">
      <c r="B626" s="407" t="s">
        <v>574</v>
      </c>
      <c r="C626" s="211">
        <v>10026.225</v>
      </c>
      <c r="D626" s="211">
        <v>6610.0389999999998</v>
      </c>
      <c r="E626" s="285">
        <f t="shared" ref="E626:E633" si="80">C626/D626-1</f>
        <v>0.51681782815502308</v>
      </c>
      <c r="G626" s="645" t="s">
        <v>301</v>
      </c>
      <c r="H626" s="650"/>
      <c r="I626" s="650"/>
      <c r="J626" s="644"/>
    </row>
    <row r="627" spans="2:10" x14ac:dyDescent="0.25">
      <c r="B627" s="407" t="s">
        <v>622</v>
      </c>
      <c r="C627" s="211">
        <v>817.82</v>
      </c>
      <c r="D627" s="211">
        <v>842.096</v>
      </c>
      <c r="E627" s="285">
        <f t="shared" si="80"/>
        <v>-2.8828067108738087E-2</v>
      </c>
      <c r="G627" s="646" t="s">
        <v>302</v>
      </c>
      <c r="H627" s="215">
        <v>5016.4769999999999</v>
      </c>
      <c r="I627" s="215">
        <v>5016.4769999999999</v>
      </c>
      <c r="J627" s="647">
        <f>H627/I627-1</f>
        <v>0</v>
      </c>
    </row>
    <row r="628" spans="2:10" x14ac:dyDescent="0.25">
      <c r="B628" s="407" t="s">
        <v>623</v>
      </c>
      <c r="C628" s="211">
        <v>20590.810000000001</v>
      </c>
      <c r="D628" s="211">
        <v>17447.815999999999</v>
      </c>
      <c r="E628" s="285">
        <f t="shared" si="80"/>
        <v>0.18013681483115151</v>
      </c>
      <c r="G628" s="646" t="s">
        <v>303</v>
      </c>
      <c r="H628" s="215">
        <v>0</v>
      </c>
      <c r="I628" s="215">
        <v>0</v>
      </c>
      <c r="J628" s="647">
        <v>0</v>
      </c>
    </row>
    <row r="629" spans="2:10" x14ac:dyDescent="0.25">
      <c r="B629" s="407" t="s">
        <v>624</v>
      </c>
      <c r="C629" s="211">
        <v>1005.136</v>
      </c>
      <c r="D629" s="211">
        <v>1004.954</v>
      </c>
      <c r="E629" s="285">
        <f t="shared" si="80"/>
        <v>1.8110281664629468E-4</v>
      </c>
      <c r="G629" s="646" t="s">
        <v>641</v>
      </c>
      <c r="H629" s="215">
        <v>6480.058</v>
      </c>
      <c r="I629" s="215">
        <v>6098.7839999999997</v>
      </c>
      <c r="J629" s="647">
        <f t="shared" ref="J629:J634" si="81">H629/I629-1</f>
        <v>6.2516396711213229E-2</v>
      </c>
    </row>
    <row r="630" spans="2:10" x14ac:dyDescent="0.25">
      <c r="B630" s="407" t="s">
        <v>625</v>
      </c>
      <c r="C630" s="211">
        <v>813.74400000000003</v>
      </c>
      <c r="D630" s="211">
        <v>1007.5410000000001</v>
      </c>
      <c r="E630" s="285">
        <f t="shared" si="80"/>
        <v>-0.19234651493090604</v>
      </c>
      <c r="G630" s="646" t="s">
        <v>327</v>
      </c>
      <c r="H630" s="215">
        <v>10781.764999999999</v>
      </c>
      <c r="I630" s="215">
        <v>9617.9519999999993</v>
      </c>
      <c r="J630" s="647">
        <f t="shared" si="81"/>
        <v>0.12100424289911205</v>
      </c>
    </row>
    <row r="631" spans="2:10" x14ac:dyDescent="0.25">
      <c r="B631" s="407" t="s">
        <v>291</v>
      </c>
      <c r="C631" s="211">
        <v>986.10799999999995</v>
      </c>
      <c r="D631" s="211">
        <v>44.667000000000002</v>
      </c>
      <c r="E631" s="285">
        <f t="shared" si="80"/>
        <v>21.076880023283405</v>
      </c>
      <c r="G631" s="646" t="s">
        <v>642</v>
      </c>
      <c r="H631" s="215">
        <v>-36.612000000000002</v>
      </c>
      <c r="I631" s="215">
        <v>-36.612000000000002</v>
      </c>
      <c r="J631" s="647">
        <f t="shared" si="81"/>
        <v>0</v>
      </c>
    </row>
    <row r="632" spans="2:10" x14ac:dyDescent="0.25">
      <c r="B632" s="407" t="s">
        <v>352</v>
      </c>
      <c r="C632" s="211">
        <v>40.006</v>
      </c>
      <c r="D632" s="211">
        <v>5010.232</v>
      </c>
      <c r="E632" s="285">
        <f t="shared" si="80"/>
        <v>-0.99201514021705983</v>
      </c>
      <c r="G632" s="646" t="s">
        <v>643</v>
      </c>
      <c r="H632" s="215">
        <v>2107.9639999999999</v>
      </c>
      <c r="I632" s="215">
        <v>2107.9639999999999</v>
      </c>
      <c r="J632" s="647">
        <f t="shared" si="81"/>
        <v>0</v>
      </c>
    </row>
    <row r="633" spans="2:10" ht="14.4" thickBot="1" x14ac:dyDescent="0.3">
      <c r="B633" s="324" t="s">
        <v>319</v>
      </c>
      <c r="C633" s="213">
        <f>SUM(C626:C632)</f>
        <v>34279.849000000002</v>
      </c>
      <c r="D633" s="213">
        <f>SUM(D626:D632)</f>
        <v>31967.345000000005</v>
      </c>
      <c r="E633" s="203">
        <f t="shared" si="80"/>
        <v>7.2339570270849807E-2</v>
      </c>
      <c r="G633" s="646" t="s">
        <v>644</v>
      </c>
      <c r="H633" s="215">
        <v>72.495000000000005</v>
      </c>
      <c r="I633" s="215">
        <v>72.495000000000005</v>
      </c>
      <c r="J633" s="647">
        <f t="shared" si="81"/>
        <v>0</v>
      </c>
    </row>
    <row r="634" spans="2:10" ht="14.4" thickBot="1" x14ac:dyDescent="0.3">
      <c r="B634" s="324"/>
      <c r="C634" s="213"/>
      <c r="D634" s="213"/>
      <c r="E634" s="203"/>
      <c r="G634" s="651" t="s">
        <v>305</v>
      </c>
      <c r="H634" s="642">
        <f>SUM(H627:H633)</f>
        <v>24422.146999999997</v>
      </c>
      <c r="I634" s="642">
        <f>SUM(I627:I633)</f>
        <v>22877.059999999994</v>
      </c>
      <c r="J634" s="187">
        <f t="shared" si="81"/>
        <v>6.7538704711182396E-2</v>
      </c>
    </row>
    <row r="635" spans="2:10" ht="14.4" thickBot="1" x14ac:dyDescent="0.3">
      <c r="B635" s="324" t="s">
        <v>294</v>
      </c>
      <c r="C635" s="213"/>
      <c r="D635" s="213"/>
      <c r="E635" s="203"/>
    </row>
    <row r="636" spans="2:10" x14ac:dyDescent="0.25">
      <c r="B636" s="407" t="s">
        <v>626</v>
      </c>
      <c r="C636" s="211">
        <v>16280.009</v>
      </c>
      <c r="D636" s="211">
        <v>16278.901</v>
      </c>
      <c r="E636" s="285">
        <f t="shared" ref="E636:E641" si="82">C636/D636-1</f>
        <v>6.8063562767450847E-5</v>
      </c>
      <c r="G636" s="779" t="s">
        <v>155</v>
      </c>
      <c r="H636" s="779"/>
      <c r="I636" s="779"/>
      <c r="J636" s="780"/>
    </row>
    <row r="637" spans="2:10" ht="14.4" thickBot="1" x14ac:dyDescent="0.3">
      <c r="B637" s="407" t="s">
        <v>627</v>
      </c>
      <c r="C637" s="211">
        <v>2359.0390000000002</v>
      </c>
      <c r="D637" s="211">
        <v>2708.09</v>
      </c>
      <c r="E637" s="285">
        <f t="shared" si="82"/>
        <v>-0.12889194967670936</v>
      </c>
      <c r="G637" s="694" t="s">
        <v>669</v>
      </c>
      <c r="H637" s="694"/>
      <c r="I637" s="694"/>
      <c r="J637" s="713"/>
    </row>
    <row r="638" spans="2:10" x14ac:dyDescent="0.25">
      <c r="B638" s="407" t="s">
        <v>324</v>
      </c>
      <c r="C638" s="211">
        <v>88.581000000000003</v>
      </c>
      <c r="D638" s="211">
        <v>332.35300000000001</v>
      </c>
      <c r="E638" s="285">
        <f t="shared" si="82"/>
        <v>-0.73347314451802759</v>
      </c>
      <c r="G638" s="334"/>
      <c r="H638" s="217">
        <v>2022</v>
      </c>
      <c r="I638" s="217">
        <v>2021</v>
      </c>
      <c r="J638" s="218"/>
    </row>
    <row r="639" spans="2:10" ht="14.4" thickBot="1" x14ac:dyDescent="0.3">
      <c r="B639" s="407" t="s">
        <v>628</v>
      </c>
      <c r="C639" s="211">
        <v>4642.8100000000004</v>
      </c>
      <c r="D639" s="211">
        <v>6845.6660000000002</v>
      </c>
      <c r="E639" s="285">
        <f t="shared" si="82"/>
        <v>-0.32178841328221386</v>
      </c>
      <c r="G639" s="661"/>
      <c r="H639" s="662" t="s">
        <v>278</v>
      </c>
      <c r="I639" s="662" t="s">
        <v>278</v>
      </c>
      <c r="J639" s="663"/>
    </row>
    <row r="640" spans="2:10" x14ac:dyDescent="0.25">
      <c r="B640" s="407" t="s">
        <v>321</v>
      </c>
      <c r="C640" s="211">
        <v>71.37</v>
      </c>
      <c r="D640" s="211">
        <v>71.37</v>
      </c>
      <c r="E640" s="285">
        <f t="shared" si="82"/>
        <v>0</v>
      </c>
      <c r="G640" s="664"/>
      <c r="H640" s="665"/>
      <c r="I640" s="666"/>
      <c r="J640" s="667"/>
    </row>
    <row r="641" spans="2:10" x14ac:dyDescent="0.25">
      <c r="B641" s="324" t="s">
        <v>300</v>
      </c>
      <c r="C641" s="213">
        <f>SUM(C636:C640)</f>
        <v>23441.808999999997</v>
      </c>
      <c r="D641" s="213">
        <f>SUM(D636:D640)</f>
        <v>26236.38</v>
      </c>
      <c r="E641" s="203">
        <f t="shared" si="82"/>
        <v>-0.10651511374663747</v>
      </c>
      <c r="G641" s="668" t="s">
        <v>306</v>
      </c>
      <c r="H641" s="669">
        <v>413181</v>
      </c>
      <c r="I641" s="669">
        <v>332651</v>
      </c>
      <c r="J641" s="419">
        <f>H641/I641-1</f>
        <v>0.24208554911904678</v>
      </c>
    </row>
    <row r="642" spans="2:10" x14ac:dyDescent="0.25">
      <c r="B642" s="324"/>
      <c r="C642" s="213"/>
      <c r="D642" s="213"/>
      <c r="E642" s="203"/>
      <c r="G642" s="670" t="s">
        <v>307</v>
      </c>
      <c r="H642" s="671">
        <v>-154.108</v>
      </c>
      <c r="I642" s="671">
        <v>-127.996</v>
      </c>
      <c r="J642" s="419"/>
    </row>
    <row r="643" spans="2:10" x14ac:dyDescent="0.25">
      <c r="B643" s="324" t="s">
        <v>301</v>
      </c>
      <c r="C643" s="213"/>
      <c r="D643" s="213"/>
      <c r="E643" s="203"/>
      <c r="G643" s="668" t="s">
        <v>280</v>
      </c>
      <c r="H643" s="669">
        <v>156398</v>
      </c>
      <c r="I643" s="669">
        <v>130101</v>
      </c>
      <c r="J643" s="419">
        <f>H643/I643-1</f>
        <v>0.20212757780493606</v>
      </c>
    </row>
    <row r="644" spans="2:10" ht="14.4" thickBot="1" x14ac:dyDescent="0.3">
      <c r="B644" s="407" t="s">
        <v>302</v>
      </c>
      <c r="C644" s="211">
        <v>2696.8290000000002</v>
      </c>
      <c r="D644" s="211">
        <v>1143.328</v>
      </c>
      <c r="E644" s="285">
        <f t="shared" ref="E644:E650" si="83">C644/D644-1</f>
        <v>1.358753568529766</v>
      </c>
      <c r="G644" s="670" t="s">
        <v>281</v>
      </c>
      <c r="H644" s="671">
        <v>-50547</v>
      </c>
      <c r="I644" s="671">
        <v>-40391</v>
      </c>
      <c r="J644" s="419"/>
    </row>
    <row r="645" spans="2:10" ht="14.4" thickBot="1" x14ac:dyDescent="0.3">
      <c r="B645" s="407" t="s">
        <v>303</v>
      </c>
      <c r="C645" s="211">
        <v>4624.4859999999999</v>
      </c>
      <c r="D645" s="211">
        <v>1517.4849999999999</v>
      </c>
      <c r="E645" s="285">
        <f t="shared" si="83"/>
        <v>2.0474673555257548</v>
      </c>
      <c r="G645" s="668" t="s">
        <v>309</v>
      </c>
      <c r="H645" s="672">
        <f>SUM(H643:H644)</f>
        <v>105851</v>
      </c>
      <c r="I645" s="672">
        <f>SUM(I643:I644)</f>
        <v>89710</v>
      </c>
      <c r="J645" s="429">
        <f>H645/I645-1</f>
        <v>0.17992420020064648</v>
      </c>
    </row>
    <row r="646" spans="2:10" ht="14.4" thickBot="1" x14ac:dyDescent="0.3">
      <c r="B646" s="407" t="s">
        <v>327</v>
      </c>
      <c r="C646" s="211">
        <v>1582.366</v>
      </c>
      <c r="D646" s="211">
        <v>1140.6489999999999</v>
      </c>
      <c r="E646" s="285">
        <f t="shared" si="83"/>
        <v>0.38725059154919705</v>
      </c>
      <c r="G646" s="673" t="s">
        <v>283</v>
      </c>
      <c r="H646" s="674"/>
      <c r="I646" s="674"/>
      <c r="J646" s="419"/>
    </row>
    <row r="647" spans="2:10" x14ac:dyDescent="0.25">
      <c r="B647" s="407" t="s">
        <v>534</v>
      </c>
      <c r="C647" s="211">
        <v>-2.141</v>
      </c>
      <c r="D647" s="211">
        <v>-6.9969999999999999</v>
      </c>
      <c r="E647" s="285">
        <f t="shared" si="83"/>
        <v>-0.69401171930827499</v>
      </c>
      <c r="G647" s="675" t="s">
        <v>285</v>
      </c>
      <c r="H647" s="674"/>
      <c r="I647" s="674"/>
      <c r="J647" s="419"/>
    </row>
    <row r="648" spans="2:10" x14ac:dyDescent="0.25">
      <c r="B648" s="407" t="s">
        <v>629</v>
      </c>
      <c r="C648" s="211">
        <v>1513.373</v>
      </c>
      <c r="D648" s="211">
        <v>1513.373</v>
      </c>
      <c r="E648" s="285">
        <f t="shared" si="83"/>
        <v>0</v>
      </c>
      <c r="G648" s="675" t="s">
        <v>311</v>
      </c>
      <c r="H648" s="674"/>
      <c r="I648" s="674"/>
      <c r="J648" s="419"/>
    </row>
    <row r="649" spans="2:10" ht="14.4" thickBot="1" x14ac:dyDescent="0.3">
      <c r="B649" s="407" t="s">
        <v>630</v>
      </c>
      <c r="C649" s="211">
        <v>423.12700000000001</v>
      </c>
      <c r="D649" s="211">
        <v>423.12700000000001</v>
      </c>
      <c r="E649" s="285">
        <f t="shared" si="83"/>
        <v>0</v>
      </c>
      <c r="G649" s="407" t="s">
        <v>312</v>
      </c>
      <c r="H649" s="671">
        <v>1428001</v>
      </c>
      <c r="I649" s="671">
        <v>1472859</v>
      </c>
      <c r="J649" s="422">
        <f t="shared" ref="J649:J656" si="84">H649/I649-1</f>
        <v>-3.0456411645649717E-2</v>
      </c>
    </row>
    <row r="650" spans="2:10" ht="14.4" thickBot="1" x14ac:dyDescent="0.3">
      <c r="B650" s="408" t="s">
        <v>305</v>
      </c>
      <c r="C650" s="398">
        <f>SUM(C644:C649)</f>
        <v>10838.04</v>
      </c>
      <c r="D650" s="398">
        <f>SUM(D644:D649)</f>
        <v>5730.9650000000001</v>
      </c>
      <c r="E650" s="205">
        <f t="shared" si="83"/>
        <v>0.89113700746732882</v>
      </c>
      <c r="G650" s="407" t="s">
        <v>291</v>
      </c>
      <c r="H650" s="671">
        <v>5266</v>
      </c>
      <c r="I650" s="671">
        <v>5122</v>
      </c>
      <c r="J650" s="422">
        <f t="shared" si="84"/>
        <v>2.8114017961733628E-2</v>
      </c>
    </row>
    <row r="651" spans="2:10" ht="14.4" thickBot="1" x14ac:dyDescent="0.3">
      <c r="G651" s="407" t="s">
        <v>412</v>
      </c>
      <c r="H651" s="671">
        <v>17498</v>
      </c>
      <c r="I651" s="671">
        <v>18566</v>
      </c>
      <c r="J651" s="422">
        <f t="shared" si="84"/>
        <v>-5.7524507163632443E-2</v>
      </c>
    </row>
    <row r="652" spans="2:10" x14ac:dyDescent="0.25">
      <c r="B652" s="691" t="s">
        <v>651</v>
      </c>
      <c r="C652" s="692"/>
      <c r="D652" s="692"/>
      <c r="E652" s="693"/>
      <c r="G652" s="407" t="s">
        <v>516</v>
      </c>
      <c r="H652" s="671">
        <v>2499</v>
      </c>
      <c r="I652" s="671">
        <v>6528</v>
      </c>
      <c r="J652" s="422">
        <f t="shared" si="84"/>
        <v>-0.6171875</v>
      </c>
    </row>
    <row r="653" spans="2:10" ht="14.4" thickBot="1" x14ac:dyDescent="0.3">
      <c r="B653" s="694" t="s">
        <v>277</v>
      </c>
      <c r="C653" s="695"/>
      <c r="D653" s="695"/>
      <c r="E653" s="696"/>
      <c r="G653" s="407" t="s">
        <v>670</v>
      </c>
      <c r="H653" s="671">
        <v>749</v>
      </c>
      <c r="I653" s="671">
        <v>5980</v>
      </c>
      <c r="J653" s="422">
        <f t="shared" si="84"/>
        <v>-0.87474916387959867</v>
      </c>
    </row>
    <row r="654" spans="2:10" x14ac:dyDescent="0.25">
      <c r="B654" s="334"/>
      <c r="C654" s="217" t="s">
        <v>310</v>
      </c>
      <c r="D654" s="217" t="s">
        <v>339</v>
      </c>
      <c r="E654" s="218"/>
      <c r="G654" s="407" t="s">
        <v>292</v>
      </c>
      <c r="H654" s="671">
        <v>7791</v>
      </c>
      <c r="I654" s="671">
        <v>5163</v>
      </c>
      <c r="J654" s="422">
        <f t="shared" si="84"/>
        <v>0.50900639163277162</v>
      </c>
    </row>
    <row r="655" spans="2:10" ht="14.4" thickBot="1" x14ac:dyDescent="0.3">
      <c r="B655" s="593"/>
      <c r="C655" s="594" t="s">
        <v>278</v>
      </c>
      <c r="D655" s="594" t="s">
        <v>278</v>
      </c>
      <c r="E655" s="595"/>
      <c r="G655" s="407" t="s">
        <v>671</v>
      </c>
      <c r="H655" s="671">
        <v>21781</v>
      </c>
      <c r="I655" s="671">
        <v>4759</v>
      </c>
      <c r="J655" s="422">
        <f t="shared" si="84"/>
        <v>3.5768018491279685</v>
      </c>
    </row>
    <row r="656" spans="2:10" x14ac:dyDescent="0.25">
      <c r="B656" s="596"/>
      <c r="C656" s="653"/>
      <c r="D656" s="654"/>
      <c r="E656" s="599"/>
      <c r="G656" s="324" t="s">
        <v>313</v>
      </c>
      <c r="H656" s="669">
        <f>SUM(H649:H655)</f>
        <v>1483585</v>
      </c>
      <c r="I656" s="669">
        <f>SUM(I649:I655)</f>
        <v>1518977</v>
      </c>
      <c r="J656" s="419">
        <f t="shared" si="84"/>
        <v>-2.3299891966764519E-2</v>
      </c>
    </row>
    <row r="657" spans="2:10" x14ac:dyDescent="0.25">
      <c r="B657" s="600" t="s">
        <v>306</v>
      </c>
      <c r="C657" s="571">
        <v>110225.4</v>
      </c>
      <c r="D657" s="611">
        <v>87257.701000000001</v>
      </c>
      <c r="E657" s="569">
        <f>C657/D657-1</f>
        <v>0.26321687068056021</v>
      </c>
      <c r="G657" s="407"/>
      <c r="H657" s="671"/>
      <c r="I657" s="671"/>
      <c r="J657" s="422"/>
    </row>
    <row r="658" spans="2:10" x14ac:dyDescent="0.25">
      <c r="B658" s="603" t="s">
        <v>307</v>
      </c>
      <c r="C658" s="610">
        <v>-66982.527000000002</v>
      </c>
      <c r="D658" s="610">
        <v>-52514.964</v>
      </c>
      <c r="E658" s="569"/>
      <c r="G658" s="324" t="s">
        <v>314</v>
      </c>
      <c r="H658" s="671"/>
      <c r="I658" s="671"/>
      <c r="J658" s="422"/>
    </row>
    <row r="659" spans="2:10" x14ac:dyDescent="0.25">
      <c r="B659" s="600" t="s">
        <v>280</v>
      </c>
      <c r="C659" s="655">
        <v>27851.988000000001</v>
      </c>
      <c r="D659" s="656">
        <v>19002.431</v>
      </c>
      <c r="E659" s="569">
        <f>C659/D659-1</f>
        <v>0.46570657196439758</v>
      </c>
      <c r="G659" s="407" t="s">
        <v>315</v>
      </c>
      <c r="H659" s="671">
        <v>172516</v>
      </c>
      <c r="I659" s="671">
        <v>167205</v>
      </c>
      <c r="J659" s="422">
        <f t="shared" ref="J659:J666" si="85">H659/I659-1</f>
        <v>3.1763404204419698E-2</v>
      </c>
    </row>
    <row r="660" spans="2:10" ht="14.4" thickBot="1" x14ac:dyDescent="0.3">
      <c r="B660" s="603" t="s">
        <v>281</v>
      </c>
      <c r="C660" s="657">
        <v>-9871.92</v>
      </c>
      <c r="D660" s="658">
        <v>-6602.4290000000001</v>
      </c>
      <c r="E660" s="569"/>
      <c r="G660" s="407" t="s">
        <v>316</v>
      </c>
      <c r="H660" s="671">
        <v>37623</v>
      </c>
      <c r="I660" s="671">
        <v>47469</v>
      </c>
      <c r="J660" s="422">
        <f t="shared" si="85"/>
        <v>-0.20741957909372433</v>
      </c>
    </row>
    <row r="661" spans="2:10" ht="14.4" thickBot="1" x14ac:dyDescent="0.3">
      <c r="B661" s="600" t="s">
        <v>282</v>
      </c>
      <c r="C661" s="659">
        <f>SUM(C659:C660)</f>
        <v>17980.067999999999</v>
      </c>
      <c r="D661" s="659">
        <f>SUM(D659:D660)</f>
        <v>12400.002</v>
      </c>
      <c r="E661" s="574">
        <f>C661/D661-1</f>
        <v>0.45000524999915315</v>
      </c>
      <c r="G661" s="407" t="s">
        <v>672</v>
      </c>
      <c r="H661" s="671">
        <v>539304</v>
      </c>
      <c r="I661" s="671">
        <v>311722</v>
      </c>
      <c r="J661" s="422">
        <f t="shared" si="85"/>
        <v>0.73008000718588995</v>
      </c>
    </row>
    <row r="662" spans="2:10" ht="14.4" thickBot="1" x14ac:dyDescent="0.3">
      <c r="B662" s="607" t="s">
        <v>283</v>
      </c>
      <c r="C662" s="660"/>
      <c r="D662" s="660"/>
      <c r="E662" s="569"/>
      <c r="G662" s="407" t="s">
        <v>671</v>
      </c>
      <c r="H662" s="671">
        <v>5672</v>
      </c>
      <c r="I662" s="671">
        <v>3752</v>
      </c>
      <c r="J662" s="422">
        <f t="shared" si="85"/>
        <v>0.51172707889125801</v>
      </c>
    </row>
    <row r="663" spans="2:10" x14ac:dyDescent="0.25">
      <c r="B663" s="609" t="s">
        <v>285</v>
      </c>
      <c r="C663" s="556"/>
      <c r="D663" s="556"/>
      <c r="E663" s="569"/>
      <c r="G663" s="407" t="s">
        <v>673</v>
      </c>
      <c r="H663" s="671">
        <v>3407</v>
      </c>
      <c r="I663" s="671">
        <v>3051</v>
      </c>
      <c r="J663" s="422">
        <f t="shared" si="85"/>
        <v>0.11668305473615215</v>
      </c>
    </row>
    <row r="664" spans="2:10" x14ac:dyDescent="0.25">
      <c r="B664" s="609" t="s">
        <v>311</v>
      </c>
      <c r="C664" s="556"/>
      <c r="D664" s="556"/>
      <c r="E664" s="569"/>
      <c r="G664" s="407" t="s">
        <v>317</v>
      </c>
      <c r="H664" s="671">
        <v>218304</v>
      </c>
      <c r="I664" s="671">
        <v>339843</v>
      </c>
      <c r="J664" s="422">
        <f t="shared" si="85"/>
        <v>-0.35763278925856945</v>
      </c>
    </row>
    <row r="665" spans="2:10" x14ac:dyDescent="0.25">
      <c r="B665" s="407" t="s">
        <v>379</v>
      </c>
      <c r="C665" s="610">
        <v>99154.588000000003</v>
      </c>
      <c r="D665" s="610">
        <v>98964.157000000007</v>
      </c>
      <c r="E665" s="560">
        <f>C665/D665-1</f>
        <v>1.9242421273795163E-3</v>
      </c>
      <c r="G665" s="324" t="s">
        <v>318</v>
      </c>
      <c r="H665" s="669">
        <f>SUM(H659:H664)</f>
        <v>976826</v>
      </c>
      <c r="I665" s="669">
        <f>SUM(I659:I664)</f>
        <v>873042</v>
      </c>
      <c r="J665" s="419">
        <f t="shared" si="85"/>
        <v>0.11887629690209645</v>
      </c>
    </row>
    <row r="666" spans="2:10" x14ac:dyDescent="0.25">
      <c r="B666" s="407" t="s">
        <v>652</v>
      </c>
      <c r="C666" s="610">
        <v>4994.1689999999999</v>
      </c>
      <c r="D666" s="610">
        <v>4848.732</v>
      </c>
      <c r="E666" s="560">
        <f t="shared" ref="E666:E667" si="86">C666/D666-1</f>
        <v>2.9994852262405836E-2</v>
      </c>
      <c r="G666" s="324" t="s">
        <v>319</v>
      </c>
      <c r="H666" s="669">
        <f>SUM(H656,H665)</f>
        <v>2460411</v>
      </c>
      <c r="I666" s="669">
        <f>SUM(I656,I665)</f>
        <v>2392019</v>
      </c>
      <c r="J666" s="419">
        <f t="shared" si="85"/>
        <v>2.8591746135795848E-2</v>
      </c>
    </row>
    <row r="667" spans="2:10" x14ac:dyDescent="0.25">
      <c r="B667" s="407" t="s">
        <v>653</v>
      </c>
      <c r="C667" s="610">
        <v>2288.8409999999999</v>
      </c>
      <c r="D667" s="610">
        <v>2501.2890000000002</v>
      </c>
      <c r="E667" s="560">
        <f t="shared" si="86"/>
        <v>-8.4935407303994181E-2</v>
      </c>
      <c r="G667" s="324"/>
      <c r="H667" s="669"/>
      <c r="I667" s="669"/>
      <c r="J667" s="419"/>
    </row>
    <row r="668" spans="2:10" x14ac:dyDescent="0.25">
      <c r="B668" s="324" t="s">
        <v>313</v>
      </c>
      <c r="C668" s="611">
        <f>SUM(C665:C667)</f>
        <v>106437.598</v>
      </c>
      <c r="D668" s="611">
        <f>SUM(D665:D667)</f>
        <v>106314.17800000001</v>
      </c>
      <c r="E668" s="569">
        <f>C668/D668-1</f>
        <v>1.1608987843558793E-3</v>
      </c>
      <c r="G668" s="324" t="s">
        <v>294</v>
      </c>
      <c r="H668" s="669"/>
      <c r="I668" s="669"/>
      <c r="J668" s="419"/>
    </row>
    <row r="669" spans="2:10" x14ac:dyDescent="0.25">
      <c r="B669" s="407"/>
      <c r="C669" s="611"/>
      <c r="D669" s="611"/>
      <c r="E669" s="569"/>
      <c r="G669" s="324" t="s">
        <v>320</v>
      </c>
      <c r="H669" s="669"/>
      <c r="I669" s="669"/>
      <c r="J669" s="419"/>
    </row>
    <row r="670" spans="2:10" x14ac:dyDescent="0.25">
      <c r="B670" s="324" t="s">
        <v>314</v>
      </c>
      <c r="C670" s="610"/>
      <c r="D670" s="610"/>
      <c r="E670" s="560"/>
      <c r="G670" s="407" t="s">
        <v>321</v>
      </c>
      <c r="H670" s="671">
        <v>134528</v>
      </c>
      <c r="I670" s="671">
        <v>135003</v>
      </c>
      <c r="J670" s="422">
        <f t="shared" ref="J670:J676" si="87">H670/I670-1</f>
        <v>-3.5184403309556078E-3</v>
      </c>
    </row>
    <row r="671" spans="2:10" x14ac:dyDescent="0.25">
      <c r="B671" s="407" t="s">
        <v>315</v>
      </c>
      <c r="C671" s="610">
        <v>63219.851999999999</v>
      </c>
      <c r="D671" s="610">
        <v>58964.125</v>
      </c>
      <c r="E671" s="560">
        <f t="shared" ref="E671:E677" si="88">C671/D671-1</f>
        <v>7.2174852081668295E-2</v>
      </c>
      <c r="G671" s="407" t="s">
        <v>674</v>
      </c>
      <c r="H671" s="671">
        <v>178751</v>
      </c>
      <c r="I671" s="671">
        <v>176562</v>
      </c>
      <c r="J671" s="422">
        <f t="shared" si="87"/>
        <v>1.2397911215323854E-2</v>
      </c>
    </row>
    <row r="672" spans="2:10" x14ac:dyDescent="0.25">
      <c r="B672" s="407" t="s">
        <v>654</v>
      </c>
      <c r="C672" s="610">
        <v>56.713000000000001</v>
      </c>
      <c r="D672" s="610">
        <v>45.442999999999998</v>
      </c>
      <c r="E672" s="560">
        <f t="shared" si="88"/>
        <v>0.24800299276016124</v>
      </c>
      <c r="G672" s="407" t="s">
        <v>471</v>
      </c>
      <c r="H672" s="671">
        <v>7776</v>
      </c>
      <c r="I672" s="671">
        <v>8019</v>
      </c>
      <c r="J672" s="422">
        <f t="shared" si="87"/>
        <v>-3.0303030303030276E-2</v>
      </c>
    </row>
    <row r="673" spans="2:10" x14ac:dyDescent="0.25">
      <c r="B673" s="407" t="s">
        <v>655</v>
      </c>
      <c r="C673" s="610">
        <v>54443.171000000002</v>
      </c>
      <c r="D673" s="610">
        <v>43302.758000000002</v>
      </c>
      <c r="E673" s="560">
        <f t="shared" si="88"/>
        <v>0.25726797817358427</v>
      </c>
      <c r="G673" s="407" t="s">
        <v>326</v>
      </c>
      <c r="H673" s="671">
        <v>371</v>
      </c>
      <c r="I673" s="671">
        <v>636</v>
      </c>
      <c r="J673" s="422">
        <f t="shared" si="87"/>
        <v>-0.41666666666666663</v>
      </c>
    </row>
    <row r="674" spans="2:10" x14ac:dyDescent="0.25">
      <c r="B674" s="407" t="s">
        <v>386</v>
      </c>
      <c r="C674" s="610">
        <v>4545.18</v>
      </c>
      <c r="D674" s="610">
        <v>1093.8409999999999</v>
      </c>
      <c r="E674" s="560">
        <f t="shared" si="88"/>
        <v>3.155247426271278</v>
      </c>
      <c r="G674" s="407" t="s">
        <v>675</v>
      </c>
      <c r="H674" s="671">
        <v>8831</v>
      </c>
      <c r="I674" s="671">
        <v>8428</v>
      </c>
      <c r="J674" s="422">
        <f t="shared" si="87"/>
        <v>4.7816801139060283E-2</v>
      </c>
    </row>
    <row r="675" spans="2:10" x14ac:dyDescent="0.25">
      <c r="B675" s="407" t="s">
        <v>317</v>
      </c>
      <c r="C675" s="610">
        <v>95589.123000000007</v>
      </c>
      <c r="D675" s="610">
        <v>100518.159</v>
      </c>
      <c r="E675" s="560">
        <f t="shared" si="88"/>
        <v>-4.9036274132318702E-2</v>
      </c>
      <c r="G675" s="407" t="s">
        <v>676</v>
      </c>
      <c r="H675" s="671">
        <v>3223</v>
      </c>
      <c r="I675" s="671">
        <v>3219</v>
      </c>
      <c r="J675" s="422">
        <f t="shared" si="87"/>
        <v>1.2426219322771992E-3</v>
      </c>
    </row>
    <row r="676" spans="2:10" x14ac:dyDescent="0.25">
      <c r="B676" s="324" t="s">
        <v>318</v>
      </c>
      <c r="C676" s="611">
        <f>SUM(C671:C675)</f>
        <v>217854.03899999999</v>
      </c>
      <c r="D676" s="611">
        <f>SUM(D671:D675)</f>
        <v>203924.326</v>
      </c>
      <c r="E676" s="569">
        <f t="shared" si="88"/>
        <v>6.830824587352069E-2</v>
      </c>
      <c r="G676" s="324" t="s">
        <v>313</v>
      </c>
      <c r="H676" s="669">
        <f>SUM(H670:H675)</f>
        <v>333480</v>
      </c>
      <c r="I676" s="669">
        <f>SUM(I670:I675)</f>
        <v>331867</v>
      </c>
      <c r="J676" s="419">
        <f t="shared" si="87"/>
        <v>4.8603808152061223E-3</v>
      </c>
    </row>
    <row r="677" spans="2:10" x14ac:dyDescent="0.25">
      <c r="B677" s="324" t="s">
        <v>319</v>
      </c>
      <c r="C677" s="611">
        <f>C676+C668</f>
        <v>324291.63699999999</v>
      </c>
      <c r="D677" s="611">
        <f>D676+D668</f>
        <v>310238.50400000002</v>
      </c>
      <c r="E677" s="569">
        <f t="shared" si="88"/>
        <v>4.529783640266638E-2</v>
      </c>
      <c r="G677" s="407"/>
      <c r="H677" s="669"/>
      <c r="I677" s="669"/>
      <c r="J677" s="419"/>
    </row>
    <row r="678" spans="2:10" x14ac:dyDescent="0.25">
      <c r="B678" s="324"/>
      <c r="C678" s="611"/>
      <c r="D678" s="611"/>
      <c r="E678" s="569"/>
      <c r="G678" s="324" t="s">
        <v>323</v>
      </c>
      <c r="H678" s="671"/>
      <c r="I678" s="671"/>
      <c r="J678" s="422"/>
    </row>
    <row r="679" spans="2:10" x14ac:dyDescent="0.25">
      <c r="B679" s="324" t="s">
        <v>294</v>
      </c>
      <c r="C679" s="611"/>
      <c r="D679" s="611"/>
      <c r="E679" s="569"/>
      <c r="G679" s="407" t="s">
        <v>325</v>
      </c>
      <c r="H679" s="671">
        <v>371681</v>
      </c>
      <c r="I679" s="671">
        <v>371224</v>
      </c>
      <c r="J679" s="422">
        <f t="shared" ref="J679:J686" si="89">H679/I679-1</f>
        <v>1.2310626468117203E-3</v>
      </c>
    </row>
    <row r="680" spans="2:10" x14ac:dyDescent="0.25">
      <c r="B680" s="324" t="s">
        <v>323</v>
      </c>
      <c r="C680" s="611"/>
      <c r="D680" s="611"/>
      <c r="E680" s="569"/>
      <c r="G680" s="407" t="s">
        <v>471</v>
      </c>
      <c r="H680" s="671">
        <v>1941</v>
      </c>
      <c r="I680" s="671">
        <v>2187</v>
      </c>
      <c r="J680" s="422">
        <f t="shared" si="89"/>
        <v>-0.11248285322359397</v>
      </c>
    </row>
    <row r="681" spans="2:10" x14ac:dyDescent="0.25">
      <c r="B681" s="407" t="s">
        <v>456</v>
      </c>
      <c r="C681" s="610">
        <v>151938.85999999999</v>
      </c>
      <c r="D681" s="610">
        <v>148384.42499999999</v>
      </c>
      <c r="E681" s="560">
        <f t="shared" ref="E681:E689" si="90">C681/D681-1</f>
        <v>2.3954232393325725E-2</v>
      </c>
      <c r="G681" s="407" t="s">
        <v>677</v>
      </c>
      <c r="H681" s="671">
        <v>206416</v>
      </c>
      <c r="I681" s="671">
        <v>153385</v>
      </c>
      <c r="J681" s="422">
        <f t="shared" si="89"/>
        <v>0.34573784920298589</v>
      </c>
    </row>
    <row r="682" spans="2:10" x14ac:dyDescent="0.25">
      <c r="B682" s="407" t="s">
        <v>495</v>
      </c>
      <c r="C682" s="610">
        <v>12807.303</v>
      </c>
      <c r="D682" s="610">
        <v>15452.353999999999</v>
      </c>
      <c r="E682" s="560">
        <f t="shared" si="90"/>
        <v>-0.17117463138625999</v>
      </c>
      <c r="G682" s="407" t="s">
        <v>678</v>
      </c>
      <c r="H682" s="671">
        <v>368722</v>
      </c>
      <c r="I682" s="671">
        <v>401393</v>
      </c>
      <c r="J682" s="422">
        <f t="shared" si="89"/>
        <v>-8.1394045237460522E-2</v>
      </c>
    </row>
    <row r="683" spans="2:10" x14ac:dyDescent="0.25">
      <c r="B683" s="407" t="s">
        <v>397</v>
      </c>
      <c r="C683" s="610">
        <v>92.384</v>
      </c>
      <c r="D683" s="610">
        <v>78.962999999999994</v>
      </c>
      <c r="E683" s="560">
        <f t="shared" si="90"/>
        <v>0.16996568012866797</v>
      </c>
      <c r="G683" s="407" t="s">
        <v>604</v>
      </c>
      <c r="H683" s="671">
        <v>122773</v>
      </c>
      <c r="I683" s="671">
        <v>148294</v>
      </c>
      <c r="J683" s="422">
        <f t="shared" si="89"/>
        <v>-0.17209732018827462</v>
      </c>
    </row>
    <row r="684" spans="2:10" x14ac:dyDescent="0.25">
      <c r="B684" s="407" t="s">
        <v>656</v>
      </c>
      <c r="C684" s="610">
        <v>2.3519999999999999</v>
      </c>
      <c r="D684" s="610">
        <v>2.3519999999999999</v>
      </c>
      <c r="E684" s="560">
        <f t="shared" si="90"/>
        <v>0</v>
      </c>
      <c r="G684" s="407" t="s">
        <v>603</v>
      </c>
      <c r="H684" s="671">
        <v>0</v>
      </c>
      <c r="I684" s="671">
        <v>0</v>
      </c>
      <c r="J684" s="422">
        <v>0</v>
      </c>
    </row>
    <row r="685" spans="2:10" x14ac:dyDescent="0.25">
      <c r="B685" s="407" t="s">
        <v>324</v>
      </c>
      <c r="C685" s="610">
        <v>14403.713</v>
      </c>
      <c r="D685" s="610">
        <v>28281.629000000001</v>
      </c>
      <c r="E685" s="560">
        <f t="shared" si="90"/>
        <v>-0.49070426600957107</v>
      </c>
      <c r="G685" s="324" t="s">
        <v>336</v>
      </c>
      <c r="H685" s="669">
        <f>SUM(H679:H684)</f>
        <v>1071533</v>
      </c>
      <c r="I685" s="669">
        <f>SUM(I679:I684)</f>
        <v>1076483</v>
      </c>
      <c r="J685" s="419">
        <f t="shared" si="89"/>
        <v>-4.5983076369994214E-3</v>
      </c>
    </row>
    <row r="686" spans="2:10" x14ac:dyDescent="0.25">
      <c r="B686" s="407" t="s">
        <v>420</v>
      </c>
      <c r="C686" s="610">
        <v>313.44600000000003</v>
      </c>
      <c r="D686" s="610">
        <v>184.821</v>
      </c>
      <c r="E686" s="560">
        <f t="shared" si="90"/>
        <v>0.69594364276786735</v>
      </c>
      <c r="G686" s="324" t="s">
        <v>300</v>
      </c>
      <c r="H686" s="669">
        <f>H685+H676</f>
        <v>1405013</v>
      </c>
      <c r="I686" s="669">
        <f>I685+I676</f>
        <v>1408350</v>
      </c>
      <c r="J686" s="419">
        <f t="shared" si="89"/>
        <v>-2.3694394149181841E-3</v>
      </c>
    </row>
    <row r="687" spans="2:10" x14ac:dyDescent="0.25">
      <c r="B687" s="407" t="s">
        <v>657</v>
      </c>
      <c r="C687" s="610">
        <v>2469.998</v>
      </c>
      <c r="D687" s="610">
        <v>431.94299999999998</v>
      </c>
      <c r="E687" s="560">
        <f t="shared" si="90"/>
        <v>4.7183424664828468</v>
      </c>
      <c r="G687" s="324"/>
      <c r="H687" s="669"/>
      <c r="I687" s="669"/>
      <c r="J687" s="419"/>
    </row>
    <row r="688" spans="2:10" x14ac:dyDescent="0.25">
      <c r="B688" s="407" t="s">
        <v>298</v>
      </c>
      <c r="C688" s="610">
        <v>2654.0160000000001</v>
      </c>
      <c r="D688" s="610">
        <v>2701.498</v>
      </c>
      <c r="E688" s="560">
        <f t="shared" si="90"/>
        <v>-1.757617440397885E-2</v>
      </c>
      <c r="G688" s="324" t="s">
        <v>301</v>
      </c>
      <c r="H688" s="671"/>
      <c r="I688" s="671"/>
      <c r="J688" s="419"/>
    </row>
    <row r="689" spans="2:10" x14ac:dyDescent="0.25">
      <c r="B689" s="324" t="s">
        <v>336</v>
      </c>
      <c r="C689" s="611">
        <f>SUM(C681:C688)</f>
        <v>184682.07199999999</v>
      </c>
      <c r="D689" s="611">
        <f>SUM(D681:D688)</f>
        <v>195517.98499999999</v>
      </c>
      <c r="E689" s="569">
        <f t="shared" si="90"/>
        <v>-5.5421566461008709E-2</v>
      </c>
      <c r="G689" s="407" t="s">
        <v>302</v>
      </c>
      <c r="H689" s="671">
        <v>8520</v>
      </c>
      <c r="I689" s="671">
        <v>8520</v>
      </c>
      <c r="J689" s="422">
        <f t="shared" ref="J689:J696" si="91">H689/I689-1</f>
        <v>0</v>
      </c>
    </row>
    <row r="690" spans="2:10" x14ac:dyDescent="0.25">
      <c r="B690" s="407"/>
      <c r="C690" s="611"/>
      <c r="D690" s="611"/>
      <c r="E690" s="569"/>
      <c r="G690" s="407" t="s">
        <v>303</v>
      </c>
      <c r="H690" s="671">
        <v>42430</v>
      </c>
      <c r="I690" s="671">
        <v>42430</v>
      </c>
      <c r="J690" s="422">
        <f t="shared" si="91"/>
        <v>0</v>
      </c>
    </row>
    <row r="691" spans="2:10" x14ac:dyDescent="0.25">
      <c r="B691" s="324" t="s">
        <v>320</v>
      </c>
      <c r="C691" s="610"/>
      <c r="D691" s="610"/>
      <c r="E691" s="560"/>
      <c r="G691" s="407" t="s">
        <v>463</v>
      </c>
      <c r="H691" s="671">
        <v>-45156</v>
      </c>
      <c r="I691" s="671">
        <v>-9833</v>
      </c>
      <c r="J691" s="422">
        <f t="shared" si="91"/>
        <v>3.5922912641106475</v>
      </c>
    </row>
    <row r="692" spans="2:10" x14ac:dyDescent="0.25">
      <c r="B692" s="407" t="s">
        <v>658</v>
      </c>
      <c r="C692" s="610">
        <v>81258.717000000004</v>
      </c>
      <c r="D692" s="610">
        <v>76432.858999999997</v>
      </c>
      <c r="E692" s="560">
        <f>C692/D692-1</f>
        <v>6.3138525277459667E-2</v>
      </c>
      <c r="G692" s="407" t="s">
        <v>465</v>
      </c>
      <c r="H692" s="671">
        <v>2877</v>
      </c>
      <c r="I692" s="671">
        <v>2877</v>
      </c>
      <c r="J692" s="422">
        <f t="shared" si="91"/>
        <v>0</v>
      </c>
    </row>
    <row r="693" spans="2:10" x14ac:dyDescent="0.25">
      <c r="B693" s="407" t="s">
        <v>659</v>
      </c>
      <c r="C693" s="610">
        <v>4161.4979999999996</v>
      </c>
      <c r="D693" s="610">
        <v>4038.6</v>
      </c>
      <c r="E693" s="560">
        <f t="shared" ref="E693:E695" si="92">C693/D693-1</f>
        <v>3.0430842371118594E-2</v>
      </c>
      <c r="G693" s="407" t="s">
        <v>679</v>
      </c>
      <c r="H693" s="671">
        <v>52505</v>
      </c>
      <c r="I693" s="671">
        <v>53102</v>
      </c>
      <c r="J693" s="422">
        <f t="shared" si="91"/>
        <v>-1.1242514406237025E-2</v>
      </c>
    </row>
    <row r="694" spans="2:10" x14ac:dyDescent="0.25">
      <c r="B694" s="407" t="s">
        <v>420</v>
      </c>
      <c r="C694" s="610">
        <v>127.89</v>
      </c>
      <c r="D694" s="610">
        <v>283.13499999999999</v>
      </c>
      <c r="E694" s="560">
        <f t="shared" si="92"/>
        <v>-0.54830734455295183</v>
      </c>
      <c r="G694" s="407" t="s">
        <v>327</v>
      </c>
      <c r="H694" s="671">
        <v>972689</v>
      </c>
      <c r="I694" s="671">
        <v>868274</v>
      </c>
      <c r="J694" s="422">
        <f t="shared" si="91"/>
        <v>0.12025581786394612</v>
      </c>
    </row>
    <row r="695" spans="2:10" ht="14.4" thickBot="1" x14ac:dyDescent="0.3">
      <c r="B695" s="407" t="s">
        <v>321</v>
      </c>
      <c r="C695" s="610">
        <v>14787.726000000001</v>
      </c>
      <c r="D695" s="610">
        <v>12587.716</v>
      </c>
      <c r="E695" s="560">
        <f t="shared" si="92"/>
        <v>0.17477435938338615</v>
      </c>
      <c r="G695" s="407" t="s">
        <v>304</v>
      </c>
      <c r="H695" s="671">
        <v>21533</v>
      </c>
      <c r="I695" s="671">
        <v>18299</v>
      </c>
      <c r="J695" s="422">
        <f t="shared" si="91"/>
        <v>0.17673096890540463</v>
      </c>
    </row>
    <row r="696" spans="2:10" ht="14.4" thickBot="1" x14ac:dyDescent="0.3">
      <c r="B696" s="324" t="s">
        <v>322</v>
      </c>
      <c r="C696" s="611">
        <f>SUM(C692:C695)</f>
        <v>100335.83099999999</v>
      </c>
      <c r="D696" s="611">
        <f>SUM(D692:D695)</f>
        <v>93342.31</v>
      </c>
      <c r="E696" s="569">
        <f>C696/D696-1</f>
        <v>7.4923376119575336E-2</v>
      </c>
      <c r="G696" s="676" t="s">
        <v>305</v>
      </c>
      <c r="H696" s="672">
        <f>SUM(H689:H695)</f>
        <v>1055398</v>
      </c>
      <c r="I696" s="672">
        <f>SUM(I689:I695)</f>
        <v>983669</v>
      </c>
      <c r="J696" s="242">
        <f t="shared" si="91"/>
        <v>7.2919854137926565E-2</v>
      </c>
    </row>
    <row r="697" spans="2:10" x14ac:dyDescent="0.25">
      <c r="B697" s="324" t="s">
        <v>300</v>
      </c>
      <c r="C697" s="611">
        <f>C696+C689</f>
        <v>285017.90299999999</v>
      </c>
      <c r="D697" s="611">
        <f>D696+D689</f>
        <v>288860.29499999998</v>
      </c>
      <c r="E697" s="569">
        <f>C697/D697-1</f>
        <v>-1.3301904299446887E-2</v>
      </c>
    </row>
    <row r="698" spans="2:10" x14ac:dyDescent="0.25">
      <c r="B698" s="324"/>
      <c r="C698" s="611"/>
      <c r="D698" s="611"/>
      <c r="E698" s="569"/>
    </row>
    <row r="699" spans="2:10" x14ac:dyDescent="0.25">
      <c r="B699" s="324" t="s">
        <v>301</v>
      </c>
      <c r="C699" s="610"/>
      <c r="D699" s="610"/>
      <c r="E699" s="569"/>
    </row>
    <row r="700" spans="2:10" x14ac:dyDescent="0.25">
      <c r="B700" s="407" t="s">
        <v>302</v>
      </c>
      <c r="C700" s="610">
        <v>396.32799999999997</v>
      </c>
      <c r="D700" s="610">
        <v>396.32799999999997</v>
      </c>
      <c r="E700" s="560">
        <f>C700/D700-1</f>
        <v>0</v>
      </c>
    </row>
    <row r="701" spans="2:10" x14ac:dyDescent="0.25">
      <c r="B701" s="407" t="s">
        <v>303</v>
      </c>
      <c r="C701" s="610">
        <v>32.262</v>
      </c>
      <c r="D701" s="610">
        <v>32.262</v>
      </c>
      <c r="E701" s="560">
        <f>C701/D701-1</f>
        <v>0</v>
      </c>
    </row>
    <row r="702" spans="2:10" x14ac:dyDescent="0.25">
      <c r="B702" s="407" t="s">
        <v>425</v>
      </c>
      <c r="C702" s="610">
        <v>28.917000000000002</v>
      </c>
      <c r="D702" s="610">
        <v>113.459</v>
      </c>
      <c r="E702" s="560">
        <f>C702/D702-1</f>
        <v>-0.74513260296671047</v>
      </c>
    </row>
    <row r="703" spans="2:10" ht="14.4" thickBot="1" x14ac:dyDescent="0.3">
      <c r="B703" s="407" t="s">
        <v>327</v>
      </c>
      <c r="C703" s="610">
        <v>38816.228000000003</v>
      </c>
      <c r="D703" s="610">
        <v>20836.16</v>
      </c>
      <c r="E703" s="560">
        <f>C703/D703-1</f>
        <v>0.86292618217560246</v>
      </c>
    </row>
    <row r="704" spans="2:10" ht="14.4" thickBot="1" x14ac:dyDescent="0.3">
      <c r="B704" s="612" t="s">
        <v>305</v>
      </c>
      <c r="C704" s="396">
        <f>SUM(C700:C703)</f>
        <v>39273.735000000001</v>
      </c>
      <c r="D704" s="396">
        <f>SUM(D700:D703)</f>
        <v>21378.208999999999</v>
      </c>
      <c r="E704" s="574">
        <f>C704/D704-1</f>
        <v>0.83709191915936465</v>
      </c>
    </row>
  </sheetData>
  <mergeCells count="57">
    <mergeCell ref="B652:E652"/>
    <mergeCell ref="B653:E653"/>
    <mergeCell ref="G636:J636"/>
    <mergeCell ref="G637:J637"/>
    <mergeCell ref="G147:J147"/>
    <mergeCell ref="B153:E153"/>
    <mergeCell ref="B154:E154"/>
    <mergeCell ref="B199:E199"/>
    <mergeCell ref="G199:J199"/>
    <mergeCell ref="B200:E200"/>
    <mergeCell ref="G200:J200"/>
    <mergeCell ref="G249:J249"/>
    <mergeCell ref="G250:J250"/>
    <mergeCell ref="B261:E261"/>
    <mergeCell ref="B262:E262"/>
    <mergeCell ref="G300:J300"/>
    <mergeCell ref="G50:J50"/>
    <mergeCell ref="B53:E53"/>
    <mergeCell ref="B54:E54"/>
    <mergeCell ref="B2:J2"/>
    <mergeCell ref="B4:E4"/>
    <mergeCell ref="B5:E5"/>
    <mergeCell ref="G4:J4"/>
    <mergeCell ref="G5:J5"/>
    <mergeCell ref="G49:J49"/>
    <mergeCell ref="B101:E101"/>
    <mergeCell ref="G101:J101"/>
    <mergeCell ref="B102:E102"/>
    <mergeCell ref="G102:J102"/>
    <mergeCell ref="G146:J146"/>
    <mergeCell ref="G301:J301"/>
    <mergeCell ref="B311:E311"/>
    <mergeCell ref="B312:E312"/>
    <mergeCell ref="G349:J349"/>
    <mergeCell ref="G350:J350"/>
    <mergeCell ref="B358:E358"/>
    <mergeCell ref="B359:E359"/>
    <mergeCell ref="B406:E406"/>
    <mergeCell ref="B407:E407"/>
    <mergeCell ref="B456:E456"/>
    <mergeCell ref="G400:J400"/>
    <mergeCell ref="B457:E457"/>
    <mergeCell ref="G401:J401"/>
    <mergeCell ref="B503:E503"/>
    <mergeCell ref="B504:E504"/>
    <mergeCell ref="G448:J448"/>
    <mergeCell ref="B615:E615"/>
    <mergeCell ref="B616:E616"/>
    <mergeCell ref="G586:J586"/>
    <mergeCell ref="G587:J587"/>
    <mergeCell ref="G449:J449"/>
    <mergeCell ref="G490:J490"/>
    <mergeCell ref="G491:J491"/>
    <mergeCell ref="B554:E554"/>
    <mergeCell ref="B555:E555"/>
    <mergeCell ref="G534:J534"/>
    <mergeCell ref="G535:J535"/>
  </mergeCells>
  <pageMargins left="0.75" right="0.75" top="1" bottom="1" header="0.5" footer="0.5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5AB28A-B036-4C6C-B8F1-37D060B9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Market Indexes</vt:lpstr>
      <vt:lpstr>Details for April 29</vt:lpstr>
      <vt:lpstr>Top Trades for April 29</vt:lpstr>
      <vt:lpstr>Market Snapshot </vt:lpstr>
      <vt:lpstr>Released Result</vt:lpstr>
      <vt:lpstr>'Market Snapshot '!Print_Area</vt:lpstr>
      <vt:lpstr>'Released Result'!Print_Area</vt:lpstr>
      <vt:lpstr>'Top Trades for April 29'!Print_Area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Isaac Osaro</cp:lastModifiedBy>
  <cp:revision/>
  <cp:lastPrinted>2021-09-01T15:59:46Z</cp:lastPrinted>
  <dcterms:created xsi:type="dcterms:W3CDTF">2012-06-22T13:50:04Z</dcterms:created>
  <dcterms:modified xsi:type="dcterms:W3CDTF">2022-04-29T14:43:42Z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